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Area" localSheetId="0">лот1!$A$1:$AX$36</definedName>
  </definedNames>
  <calcPr calcId="125725" calcMode="manual"/>
</workbook>
</file>

<file path=xl/calcChain.xml><?xml version="1.0" encoding="utf-8"?>
<calcChain xmlns="http://schemas.openxmlformats.org/spreadsheetml/2006/main">
  <c r="AY34" i="3"/>
  <c r="AZ34" s="1"/>
  <c r="AX33"/>
  <c r="AW33"/>
  <c r="AV33"/>
  <c r="AX32"/>
  <c r="AW32"/>
  <c r="AV32"/>
  <c r="AX31"/>
  <c r="AW31"/>
  <c r="AV31"/>
  <c r="AX30"/>
  <c r="AW30"/>
  <c r="AV30"/>
  <c r="AX29"/>
  <c r="AW29"/>
  <c r="AV29"/>
  <c r="AX28"/>
  <c r="AW28"/>
  <c r="AV28"/>
  <c r="AX27"/>
  <c r="AW27"/>
  <c r="AV27"/>
  <c r="AX26"/>
  <c r="AW26"/>
  <c r="AV26"/>
  <c r="AX25"/>
  <c r="AW25"/>
  <c r="AV25"/>
  <c r="AX24"/>
  <c r="AW24"/>
  <c r="AV24"/>
  <c r="AX23"/>
  <c r="AW23"/>
  <c r="AV23"/>
  <c r="AX22"/>
  <c r="AW22"/>
  <c r="AV22"/>
  <c r="AX21"/>
  <c r="AW21"/>
  <c r="AV21"/>
  <c r="AX20"/>
  <c r="AW20"/>
  <c r="AV20"/>
  <c r="AX19"/>
  <c r="AW19"/>
  <c r="AV19"/>
  <c r="AX18"/>
  <c r="AW18"/>
  <c r="AV18"/>
  <c r="AX17"/>
  <c r="AW17"/>
  <c r="AV17"/>
  <c r="AX16"/>
  <c r="AW16"/>
  <c r="AV16"/>
  <c r="AX15"/>
  <c r="AW15"/>
  <c r="AV15"/>
  <c r="AX14"/>
  <c r="AX34" s="1"/>
  <c r="AX36" s="1"/>
  <c r="AW14"/>
  <c r="AW34" s="1"/>
  <c r="AW36" s="1"/>
  <c r="AV14"/>
  <c r="AV34" s="1"/>
  <c r="AV36" s="1"/>
  <c r="AU33"/>
  <c r="AT33"/>
  <c r="AS33"/>
  <c r="AR33"/>
  <c r="AQ33"/>
  <c r="AP33"/>
  <c r="AO33"/>
  <c r="AN33"/>
  <c r="AU32"/>
  <c r="AT32"/>
  <c r="AS32"/>
  <c r="AR32"/>
  <c r="AQ32"/>
  <c r="AP32"/>
  <c r="AO32"/>
  <c r="AN32"/>
  <c r="AU31"/>
  <c r="AT31"/>
  <c r="AS31"/>
  <c r="AR31"/>
  <c r="AQ31"/>
  <c r="AP31"/>
  <c r="AO31"/>
  <c r="AN31"/>
  <c r="AU30"/>
  <c r="AT30"/>
  <c r="AS30"/>
  <c r="AR30"/>
  <c r="AQ30"/>
  <c r="AP30"/>
  <c r="AO30"/>
  <c r="AN30"/>
  <c r="AU29"/>
  <c r="AT29"/>
  <c r="AS29"/>
  <c r="AR29"/>
  <c r="AQ29"/>
  <c r="AP29"/>
  <c r="AO29"/>
  <c r="AN29"/>
  <c r="AU28"/>
  <c r="AT28"/>
  <c r="AS28"/>
  <c r="AR28"/>
  <c r="AQ28"/>
  <c r="AP28"/>
  <c r="AO28"/>
  <c r="AN28"/>
  <c r="AU27"/>
  <c r="AT27"/>
  <c r="AS27"/>
  <c r="AR27"/>
  <c r="AQ27"/>
  <c r="AP27"/>
  <c r="AO27"/>
  <c r="AN27"/>
  <c r="AU26"/>
  <c r="AT26"/>
  <c r="AS26"/>
  <c r="AR26"/>
  <c r="AQ26"/>
  <c r="AP26"/>
  <c r="AO26"/>
  <c r="AN26"/>
  <c r="AU25"/>
  <c r="AT25"/>
  <c r="AS25"/>
  <c r="AR25"/>
  <c r="AQ25"/>
  <c r="AP25"/>
  <c r="AO25"/>
  <c r="AN25"/>
  <c r="AU24"/>
  <c r="AT24"/>
  <c r="AS24"/>
  <c r="AR24"/>
  <c r="AQ24"/>
  <c r="AP24"/>
  <c r="AO24"/>
  <c r="AN24"/>
  <c r="AU23"/>
  <c r="AT23"/>
  <c r="AS23"/>
  <c r="AR23"/>
  <c r="AQ23"/>
  <c r="AP23"/>
  <c r="AO23"/>
  <c r="AN23"/>
  <c r="AU22"/>
  <c r="AT22"/>
  <c r="AS22"/>
  <c r="AR22"/>
  <c r="AQ22"/>
  <c r="AP22"/>
  <c r="AO22"/>
  <c r="AN22"/>
  <c r="AU21"/>
  <c r="AT21"/>
  <c r="AS21"/>
  <c r="AR21"/>
  <c r="AQ21"/>
  <c r="AP21"/>
  <c r="AO21"/>
  <c r="AN21"/>
  <c r="AU20"/>
  <c r="AT20"/>
  <c r="AS20"/>
  <c r="AR20"/>
  <c r="AQ20"/>
  <c r="AP20"/>
  <c r="AO20"/>
  <c r="AN20"/>
  <c r="AU19"/>
  <c r="AT19"/>
  <c r="AS19"/>
  <c r="AR19"/>
  <c r="AQ19"/>
  <c r="AP19"/>
  <c r="AO19"/>
  <c r="AN19"/>
  <c r="AU18"/>
  <c r="AT18"/>
  <c r="AS18"/>
  <c r="AR18"/>
  <c r="AQ18"/>
  <c r="AP18"/>
  <c r="AO18"/>
  <c r="AN18"/>
  <c r="AU17"/>
  <c r="AT17"/>
  <c r="AS17"/>
  <c r="AR17"/>
  <c r="AQ17"/>
  <c r="AP17"/>
  <c r="AO17"/>
  <c r="AN17"/>
  <c r="AU16"/>
  <c r="AT16"/>
  <c r="AS16"/>
  <c r="AR16"/>
  <c r="AQ16"/>
  <c r="AP16"/>
  <c r="AO16"/>
  <c r="AN16"/>
  <c r="AU15"/>
  <c r="AT15"/>
  <c r="AS15"/>
  <c r="AR15"/>
  <c r="AQ15"/>
  <c r="AP15"/>
  <c r="AO15"/>
  <c r="AN15"/>
  <c r="AU14"/>
  <c r="AU34" s="1"/>
  <c r="AU36" s="1"/>
  <c r="AT14"/>
  <c r="AT34" s="1"/>
  <c r="AT36" s="1"/>
  <c r="AS14"/>
  <c r="AS34" s="1"/>
  <c r="AS36" s="1"/>
  <c r="AR14"/>
  <c r="AR34" s="1"/>
  <c r="AR36" s="1"/>
  <c r="AQ14"/>
  <c r="AQ34" s="1"/>
  <c r="AQ36" s="1"/>
  <c r="AP14"/>
  <c r="AP34" s="1"/>
  <c r="AP36" s="1"/>
  <c r="AO14"/>
  <c r="AO34" s="1"/>
  <c r="AO36" s="1"/>
  <c r="AN14"/>
  <c r="AN34" s="1"/>
  <c r="AN36" s="1"/>
  <c r="AM33"/>
  <c r="AL33"/>
  <c r="AK33"/>
  <c r="AJ33"/>
  <c r="AM32"/>
  <c r="AL32"/>
  <c r="AK32"/>
  <c r="AJ32"/>
  <c r="AM31"/>
  <c r="AL31"/>
  <c r="AK31"/>
  <c r="AJ31"/>
  <c r="AM30"/>
  <c r="AL30"/>
  <c r="AK30"/>
  <c r="AJ30"/>
  <c r="AM29"/>
  <c r="AL29"/>
  <c r="AK29"/>
  <c r="AJ29"/>
  <c r="AM28"/>
  <c r="AL28"/>
  <c r="AK28"/>
  <c r="AJ28"/>
  <c r="AM27"/>
  <c r="AL27"/>
  <c r="AK27"/>
  <c r="AJ27"/>
  <c r="AM26"/>
  <c r="AL26"/>
  <c r="AK26"/>
  <c r="AJ26"/>
  <c r="AM25"/>
  <c r="AL25"/>
  <c r="AK25"/>
  <c r="AJ25"/>
  <c r="AM24"/>
  <c r="AL24"/>
  <c r="AK24"/>
  <c r="AJ24"/>
  <c r="AM23"/>
  <c r="AL23"/>
  <c r="AK23"/>
  <c r="AJ23"/>
  <c r="AM22"/>
  <c r="AL22"/>
  <c r="AK22"/>
  <c r="AJ22"/>
  <c r="AM21"/>
  <c r="AL21"/>
  <c r="AK21"/>
  <c r="AJ21"/>
  <c r="AM20"/>
  <c r="AL20"/>
  <c r="AK20"/>
  <c r="AJ20"/>
  <c r="AM19"/>
  <c r="AL19"/>
  <c r="AK19"/>
  <c r="AJ19"/>
  <c r="AM18"/>
  <c r="AL18"/>
  <c r="AK18"/>
  <c r="AJ18"/>
  <c r="AM17"/>
  <c r="AL17"/>
  <c r="AK17"/>
  <c r="AJ17"/>
  <c r="AM16"/>
  <c r="AL16"/>
  <c r="AK16"/>
  <c r="AJ16"/>
  <c r="AM15"/>
  <c r="AL15"/>
  <c r="AK15"/>
  <c r="AJ15"/>
  <c r="AM14"/>
  <c r="AM34" s="1"/>
  <c r="AM36" s="1"/>
  <c r="AL14"/>
  <c r="AL34" s="1"/>
  <c r="AL36" s="1"/>
  <c r="AK14"/>
  <c r="AK34" s="1"/>
  <c r="AK36" s="1"/>
  <c r="AJ14"/>
  <c r="AJ34" s="1"/>
  <c r="AJ36" s="1"/>
  <c r="AI33"/>
  <c r="AH33"/>
  <c r="AI32"/>
  <c r="AH32"/>
  <c r="AI31"/>
  <c r="AH31"/>
  <c r="AI30"/>
  <c r="AH30"/>
  <c r="AI29"/>
  <c r="AH29"/>
  <c r="AH28" s="1"/>
  <c r="AI28"/>
  <c r="AI27"/>
  <c r="AH27"/>
  <c r="AI26"/>
  <c r="AH26"/>
  <c r="AI25"/>
  <c r="AH25"/>
  <c r="AI24"/>
  <c r="AH24"/>
  <c r="AI23"/>
  <c r="AH23"/>
  <c r="AH22" s="1"/>
  <c r="AI22"/>
  <c r="AI21"/>
  <c r="AH21"/>
  <c r="AI20"/>
  <c r="AH20"/>
  <c r="AI19"/>
  <c r="AH19"/>
  <c r="AI18"/>
  <c r="AH18"/>
  <c r="AI17"/>
  <c r="AH17"/>
  <c r="AI16"/>
  <c r="AH16"/>
  <c r="AI15"/>
  <c r="AH15"/>
  <c r="AH14" s="1"/>
  <c r="AH34" s="1"/>
  <c r="AH36" s="1"/>
  <c r="AI14"/>
  <c r="AI34" s="1"/>
  <c r="AI36" s="1"/>
  <c r="AG33"/>
  <c r="AG32"/>
  <c r="AG31"/>
  <c r="AG30"/>
  <c r="AG29"/>
  <c r="AG27"/>
  <c r="AG26"/>
  <c r="AG25"/>
  <c r="AG24"/>
  <c r="AG23"/>
  <c r="AG22" s="1"/>
  <c r="AG21"/>
  <c r="AG20"/>
  <c r="AG19"/>
  <c r="AG18"/>
  <c r="AG17"/>
  <c r="AG16"/>
  <c r="AG15"/>
  <c r="AC33"/>
  <c r="AB33"/>
  <c r="AA33"/>
  <c r="AC32"/>
  <c r="AB32"/>
  <c r="AA32"/>
  <c r="AC31"/>
  <c r="AB31"/>
  <c r="AA31"/>
  <c r="AC30"/>
  <c r="AB30"/>
  <c r="AA30"/>
  <c r="AC29"/>
  <c r="AC28" s="1"/>
  <c r="AB29"/>
  <c r="AA29"/>
  <c r="AA28" s="1"/>
  <c r="AB28"/>
  <c r="AC27"/>
  <c r="AB27"/>
  <c r="AA27"/>
  <c r="AC26"/>
  <c r="AB26"/>
  <c r="AA26"/>
  <c r="AC25"/>
  <c r="AB25"/>
  <c r="AA25"/>
  <c r="AC24"/>
  <c r="AB24"/>
  <c r="AB22" s="1"/>
  <c r="AA24"/>
  <c r="AC23"/>
  <c r="AC22" s="1"/>
  <c r="AB23"/>
  <c r="AA23"/>
  <c r="AA22" s="1"/>
  <c r="AC21"/>
  <c r="AB21"/>
  <c r="AA21"/>
  <c r="AC20"/>
  <c r="AB20"/>
  <c r="AA20"/>
  <c r="AC19"/>
  <c r="AB19"/>
  <c r="AA19"/>
  <c r="AC18"/>
  <c r="AB18"/>
  <c r="AA18"/>
  <c r="AC17"/>
  <c r="AB17"/>
  <c r="AA17"/>
  <c r="AC16"/>
  <c r="AB16"/>
  <c r="AA16"/>
  <c r="AC15"/>
  <c r="AB15"/>
  <c r="AA15"/>
  <c r="AA14" s="1"/>
  <c r="AA34" s="1"/>
  <c r="AA36" s="1"/>
  <c r="AC14" l="1"/>
  <c r="AC34" s="1"/>
  <c r="AC36" s="1"/>
  <c r="AB14"/>
  <c r="AB34"/>
  <c r="AB36" s="1"/>
  <c r="AG14"/>
  <c r="AG28"/>
  <c r="AG34" s="1"/>
  <c r="AG36" s="1"/>
  <c r="AF31"/>
  <c r="AF27"/>
  <c r="AF33"/>
  <c r="AF32"/>
  <c r="AF30"/>
  <c r="AF29"/>
  <c r="AF18"/>
  <c r="AF17"/>
  <c r="AF16"/>
  <c r="AF15"/>
  <c r="AF26"/>
  <c r="AF25"/>
  <c r="AF24"/>
  <c r="AF23"/>
  <c r="AF21"/>
  <c r="AF20"/>
  <c r="AF19"/>
  <c r="Q33"/>
  <c r="R33"/>
  <c r="S33"/>
  <c r="T33"/>
  <c r="U33"/>
  <c r="V33"/>
  <c r="W33"/>
  <c r="X33"/>
  <c r="Y33"/>
  <c r="Z33"/>
  <c r="P33"/>
  <c r="Q32"/>
  <c r="R32"/>
  <c r="S32"/>
  <c r="T32"/>
  <c r="U32"/>
  <c r="V32"/>
  <c r="W32"/>
  <c r="X32"/>
  <c r="Y32"/>
  <c r="Z32"/>
  <c r="P32"/>
  <c r="Q31"/>
  <c r="R31"/>
  <c r="S31"/>
  <c r="T31"/>
  <c r="U31"/>
  <c r="V31"/>
  <c r="W31"/>
  <c r="X31"/>
  <c r="Y31"/>
  <c r="Z31"/>
  <c r="P31"/>
  <c r="Q30"/>
  <c r="R30"/>
  <c r="S30"/>
  <c r="T30"/>
  <c r="U30"/>
  <c r="V30"/>
  <c r="W30"/>
  <c r="X30"/>
  <c r="Y30"/>
  <c r="Z30"/>
  <c r="P30"/>
  <c r="Q29"/>
  <c r="R29"/>
  <c r="S29"/>
  <c r="T29"/>
  <c r="U29"/>
  <c r="V29"/>
  <c r="W29"/>
  <c r="X29"/>
  <c r="Y29"/>
  <c r="Z29"/>
  <c r="P29"/>
  <c r="Q27"/>
  <c r="R27"/>
  <c r="S27"/>
  <c r="T27"/>
  <c r="U27"/>
  <c r="V27"/>
  <c r="W27"/>
  <c r="X27"/>
  <c r="Y27"/>
  <c r="Z27"/>
  <c r="P27"/>
  <c r="Q26"/>
  <c r="R26"/>
  <c r="S26"/>
  <c r="T26"/>
  <c r="U26"/>
  <c r="V26"/>
  <c r="W26"/>
  <c r="X26"/>
  <c r="Y26"/>
  <c r="Z26"/>
  <c r="P26"/>
  <c r="Q25"/>
  <c r="R25"/>
  <c r="S25"/>
  <c r="T25"/>
  <c r="U25"/>
  <c r="V25"/>
  <c r="W25"/>
  <c r="X25"/>
  <c r="Y25"/>
  <c r="Z25"/>
  <c r="P25"/>
  <c r="Q24"/>
  <c r="R24"/>
  <c r="S24"/>
  <c r="T24"/>
  <c r="U24"/>
  <c r="V24"/>
  <c r="W24"/>
  <c r="X24"/>
  <c r="Y24"/>
  <c r="Z24"/>
  <c r="P24"/>
  <c r="Q23"/>
  <c r="R23"/>
  <c r="S23"/>
  <c r="T23"/>
  <c r="U23"/>
  <c r="V23"/>
  <c r="W23"/>
  <c r="X23"/>
  <c r="Y23"/>
  <c r="Z23"/>
  <c r="Z22" s="1"/>
  <c r="P23"/>
  <c r="Q21"/>
  <c r="R21"/>
  <c r="S21"/>
  <c r="T21"/>
  <c r="U21"/>
  <c r="V21"/>
  <c r="W21"/>
  <c r="X21"/>
  <c r="Y21"/>
  <c r="Z21"/>
  <c r="P21"/>
  <c r="Q20"/>
  <c r="R20"/>
  <c r="S20"/>
  <c r="T20"/>
  <c r="U20"/>
  <c r="V20"/>
  <c r="W20"/>
  <c r="X20"/>
  <c r="Y20"/>
  <c r="Z20"/>
  <c r="P20"/>
  <c r="Q19"/>
  <c r="R19"/>
  <c r="S19"/>
  <c r="T19"/>
  <c r="U19"/>
  <c r="V19"/>
  <c r="W19"/>
  <c r="X19"/>
  <c r="Y19"/>
  <c r="Z19"/>
  <c r="P19"/>
  <c r="Q18"/>
  <c r="R18"/>
  <c r="S18"/>
  <c r="T18"/>
  <c r="U18"/>
  <c r="V18"/>
  <c r="W18"/>
  <c r="X18"/>
  <c r="Y18"/>
  <c r="Z18"/>
  <c r="P18"/>
  <c r="Q17"/>
  <c r="R17"/>
  <c r="S17"/>
  <c r="T17"/>
  <c r="U17"/>
  <c r="V17"/>
  <c r="W17"/>
  <c r="X17"/>
  <c r="Y17"/>
  <c r="Z17"/>
  <c r="P17"/>
  <c r="Q16"/>
  <c r="R16"/>
  <c r="S16"/>
  <c r="T16"/>
  <c r="U16"/>
  <c r="V16"/>
  <c r="W16"/>
  <c r="X16"/>
  <c r="Y16"/>
  <c r="Z16"/>
  <c r="P16"/>
  <c r="Q15"/>
  <c r="R15"/>
  <c r="S15"/>
  <c r="T15"/>
  <c r="U15"/>
  <c r="V15"/>
  <c r="W15"/>
  <c r="W14" s="1"/>
  <c r="X15"/>
  <c r="Y15"/>
  <c r="Y14" s="1"/>
  <c r="Z15"/>
  <c r="P15"/>
  <c r="P14" s="1"/>
  <c r="M33"/>
  <c r="M32"/>
  <c r="M31"/>
  <c r="M30"/>
  <c r="M29"/>
  <c r="M27"/>
  <c r="M26"/>
  <c r="M25"/>
  <c r="M24"/>
  <c r="M23"/>
  <c r="M21"/>
  <c r="M20"/>
  <c r="M19"/>
  <c r="M18"/>
  <c r="M17"/>
  <c r="M16"/>
  <c r="M15"/>
  <c r="M9"/>
  <c r="L9"/>
  <c r="K9"/>
  <c r="J9"/>
  <c r="J33"/>
  <c r="K33"/>
  <c r="L33"/>
  <c r="J32"/>
  <c r="K32"/>
  <c r="L32"/>
  <c r="J31"/>
  <c r="K31"/>
  <c r="L31"/>
  <c r="J30"/>
  <c r="K30"/>
  <c r="L30"/>
  <c r="J29"/>
  <c r="K29"/>
  <c r="L29"/>
  <c r="J27"/>
  <c r="K27"/>
  <c r="L27"/>
  <c r="J26"/>
  <c r="K26"/>
  <c r="L26"/>
  <c r="J25"/>
  <c r="K25"/>
  <c r="L25"/>
  <c r="J24"/>
  <c r="K24"/>
  <c r="L24"/>
  <c r="J23"/>
  <c r="K23"/>
  <c r="L23"/>
  <c r="J21"/>
  <c r="K21"/>
  <c r="L21"/>
  <c r="J20"/>
  <c r="K20"/>
  <c r="L20"/>
  <c r="J19"/>
  <c r="K19"/>
  <c r="L19"/>
  <c r="J18"/>
  <c r="K18"/>
  <c r="L18"/>
  <c r="J17"/>
  <c r="K17"/>
  <c r="L17"/>
  <c r="J16"/>
  <c r="K16"/>
  <c r="L16"/>
  <c r="I33"/>
  <c r="I32"/>
  <c r="I31"/>
  <c r="I30"/>
  <c r="I29"/>
  <c r="I27"/>
  <c r="I26"/>
  <c r="I25"/>
  <c r="I24"/>
  <c r="I23"/>
  <c r="I21"/>
  <c r="I20"/>
  <c r="I19"/>
  <c r="I18"/>
  <c r="I17"/>
  <c r="I16"/>
  <c r="J15"/>
  <c r="K15"/>
  <c r="L15"/>
  <c r="I15"/>
  <c r="I9"/>
  <c r="AF28" l="1"/>
  <c r="X22"/>
  <c r="M14"/>
  <c r="M28"/>
  <c r="AF14"/>
  <c r="V22"/>
  <c r="T22"/>
  <c r="R22"/>
  <c r="P28"/>
  <c r="Y28"/>
  <c r="AF22"/>
  <c r="AF34" s="1"/>
  <c r="AF36" s="1"/>
  <c r="W28"/>
  <c r="U28"/>
  <c r="S28"/>
  <c r="Z14"/>
  <c r="X14"/>
  <c r="V14"/>
  <c r="T14"/>
  <c r="R14"/>
  <c r="P22"/>
  <c r="P34" s="1"/>
  <c r="P36" s="1"/>
  <c r="Y22"/>
  <c r="Y34" s="1"/>
  <c r="Y36" s="1"/>
  <c r="W22"/>
  <c r="W34" s="1"/>
  <c r="W36" s="1"/>
  <c r="U22"/>
  <c r="S22"/>
  <c r="Q22"/>
  <c r="Z28"/>
  <c r="X28"/>
  <c r="V28"/>
  <c r="T28"/>
  <c r="R28"/>
  <c r="L14"/>
  <c r="J14"/>
  <c r="M22"/>
  <c r="U14"/>
  <c r="U34" s="1"/>
  <c r="U36" s="1"/>
  <c r="S14"/>
  <c r="S34" s="1"/>
  <c r="S36" s="1"/>
  <c r="Q14"/>
  <c r="Q28"/>
  <c r="K22"/>
  <c r="L28"/>
  <c r="J28"/>
  <c r="K14"/>
  <c r="L22"/>
  <c r="J22"/>
  <c r="K28"/>
  <c r="H31"/>
  <c r="H14"/>
  <c r="H29"/>
  <c r="H26"/>
  <c r="H27"/>
  <c r="M34" l="1"/>
  <c r="M36" s="1"/>
  <c r="Q34"/>
  <c r="Q36" s="1"/>
  <c r="K34"/>
  <c r="K36" s="1"/>
  <c r="J34"/>
  <c r="J36" s="1"/>
  <c r="T34"/>
  <c r="T36" s="1"/>
  <c r="X34"/>
  <c r="X36" s="1"/>
  <c r="L34"/>
  <c r="L36" s="1"/>
  <c r="R34"/>
  <c r="R36" s="1"/>
  <c r="V34"/>
  <c r="V36" s="1"/>
  <c r="Z34"/>
  <c r="Z36" s="1"/>
  <c r="I22"/>
  <c r="H28"/>
  <c r="H22"/>
  <c r="H9"/>
  <c r="H36" l="1"/>
  <c r="I28"/>
  <c r="I14" l="1"/>
  <c r="I34" s="1"/>
  <c r="I36" l="1"/>
</calcChain>
</file>

<file path=xl/sharedStrings.xml><?xml version="1.0" encoding="utf-8"?>
<sst xmlns="http://schemas.openxmlformats.org/spreadsheetml/2006/main" count="224" uniqueCount="133">
  <si>
    <t>месяцы</t>
  </si>
  <si>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</si>
  <si>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</si>
  <si>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</si>
  <si>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</si>
  <si>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</si>
  <si>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</si>
  <si>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</si>
  <si>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</si>
  <si>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</si>
  <si>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</si>
  <si>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</si>
  <si>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</si>
  <si>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</si>
  <si>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</si>
  <si>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</si>
  <si>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</si>
  <si>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</si>
  <si>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</si>
  <si>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</si>
  <si>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</si>
  <si>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</si>
  <si>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</si>
  <si>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</si>
  <si>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</si>
  <si>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</si>
  <si>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</si>
  <si>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</si>
  <si>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</si>
  <si>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</si>
  <si>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</si>
  <si>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</si>
  <si>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</si>
  <si>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</si>
  <si>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</si>
  <si>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</si>
  <si>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</si>
  <si>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</si>
  <si>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</si>
  <si>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</si>
  <si>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</si>
  <si>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</si>
  <si>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</si>
  <si>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</si>
  <si>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</si>
  <si>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</si>
  <si>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деревянный благоустроенный дом с центр отоплением</t>
  </si>
  <si>
    <t>деревянный не благоустроенный без канализации и центр отопления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</si>
  <si>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</si>
  <si>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</si>
  <si>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</si>
  <si>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</si>
  <si>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</si>
  <si>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деревянный не благоустроенный с центр отоплением</t>
  </si>
  <si>
    <t>Лот № 1</t>
  </si>
  <si>
    <t>Приложение №2</t>
  </si>
  <si>
    <t>к извещению и документации</t>
  </si>
  <si>
    <t xml:space="preserve"> о проведении открытого конкурса</t>
  </si>
  <si>
    <t>Жилой район      Исакогорский и Цигломенский     территориальный округ</t>
  </si>
  <si>
    <t>РЕЧНИКОВ ул.</t>
  </si>
  <si>
    <t>ШТУРМАНСКАЯ ул.</t>
  </si>
  <si>
    <t>27</t>
  </si>
  <si>
    <t>31</t>
  </si>
  <si>
    <t>33, К 3</t>
  </si>
  <si>
    <t>33, К 4</t>
  </si>
  <si>
    <t>6, К 1</t>
  </si>
  <si>
    <t>741,8</t>
  </si>
  <si>
    <t>456,4</t>
  </si>
  <si>
    <t>407,3</t>
  </si>
  <si>
    <t>465</t>
  </si>
  <si>
    <t>406,6</t>
  </si>
  <si>
    <t>ДОКОВСКАЯ ул.</t>
  </si>
  <si>
    <t>34</t>
  </si>
  <si>
    <t>35</t>
  </si>
  <si>
    <t>36</t>
  </si>
  <si>
    <t>33</t>
  </si>
  <si>
    <t>37</t>
  </si>
  <si>
    <t>40</t>
  </si>
  <si>
    <t>41</t>
  </si>
  <si>
    <t>42</t>
  </si>
  <si>
    <t>44</t>
  </si>
  <si>
    <t>51</t>
  </si>
  <si>
    <t>53</t>
  </si>
  <si>
    <t>54</t>
  </si>
  <si>
    <t>55</t>
  </si>
  <si>
    <t>432,6</t>
  </si>
  <si>
    <t>522,7</t>
  </si>
  <si>
    <t>459,4</t>
  </si>
  <si>
    <t>336,3</t>
  </si>
  <si>
    <t>405,1</t>
  </si>
  <si>
    <t>427,3</t>
  </si>
  <si>
    <t>418,4</t>
  </si>
  <si>
    <t>405,4</t>
  </si>
  <si>
    <t>421,5</t>
  </si>
  <si>
    <t>415,1</t>
  </si>
  <si>
    <t>617,1</t>
  </si>
  <si>
    <t>516,2</t>
  </si>
  <si>
    <t>524,8</t>
  </si>
  <si>
    <t>507,8</t>
  </si>
  <si>
    <t>263-й СИВАШСКОЙ ДИВИЗИИ ул.</t>
  </si>
  <si>
    <t>1</t>
  </si>
  <si>
    <t>2</t>
  </si>
  <si>
    <t>3</t>
  </si>
  <si>
    <t>4</t>
  </si>
  <si>
    <t>5</t>
  </si>
  <si>
    <t>6</t>
  </si>
  <si>
    <t>7</t>
  </si>
  <si>
    <t>8</t>
  </si>
  <si>
    <t>29</t>
  </si>
  <si>
    <t>31, К 1</t>
  </si>
  <si>
    <t>32</t>
  </si>
  <si>
    <t>32, К 1</t>
  </si>
  <si>
    <t>33, К 1</t>
  </si>
  <si>
    <t>33, К 2</t>
  </si>
  <si>
    <t>38</t>
  </si>
  <si>
    <t>513,4</t>
  </si>
  <si>
    <t>406,8</t>
  </si>
  <si>
    <t>521,2</t>
  </si>
  <si>
    <t>731,4</t>
  </si>
  <si>
    <t>717,2</t>
  </si>
  <si>
    <t>711,8</t>
  </si>
  <si>
    <t>414,9</t>
  </si>
  <si>
    <t>420,1</t>
  </si>
  <si>
    <t>533,3</t>
  </si>
  <si>
    <t>531,6</t>
  </si>
  <si>
    <t>465,2</t>
  </si>
  <si>
    <t>689,7</t>
  </si>
  <si>
    <t>648,1</t>
  </si>
  <si>
    <t>337,5</t>
  </si>
  <si>
    <t>329,4</t>
  </si>
  <si>
    <t>705,5</t>
  </si>
  <si>
    <t>518,2</t>
  </si>
  <si>
    <t>425,9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</si>
</sst>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4" fillId="2" borderId="1" xfId="0" applyNumberFormat="1" applyFont="1" applyFill="1" applyBorder="1" applyAlignment="1">
      <alignment horizontal="center" wrapText="1"/>
    </xf>
    <xf numFmtId="4" fontId="2" fillId="2" borderId="0" xfId="0" applyNumberFormat="1" applyFont="1" applyFill="1" applyAlignment="1">
      <alignment horizontal="right"/>
    </xf>
    <xf numFmtId="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left"/>
    </xf>
    <xf numFmtId="4" fontId="10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top"/>
    </xf>
    <xf numFmtId="4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top"/>
    </xf>
    <xf numFmtId="49" fontId="9" fillId="2" borderId="19" xfId="0" applyNumberFormat="1" applyFont="1" applyFill="1" applyBorder="1" applyAlignment="1">
      <alignment horizontal="left" wrapText="1"/>
    </xf>
    <xf numFmtId="49" fontId="9" fillId="2" borderId="20" xfId="0" applyNumberFormat="1" applyFont="1" applyFill="1" applyBorder="1" applyAlignment="1">
      <alignment horizontal="left" wrapText="1"/>
    </xf>
    <xf numFmtId="49" fontId="9" fillId="2" borderId="24" xfId="0" applyNumberFormat="1" applyFont="1" applyFill="1" applyBorder="1" applyAlignment="1">
      <alignment wrapText="1"/>
    </xf>
    <xf numFmtId="49" fontId="9" fillId="2" borderId="19" xfId="0" applyNumberFormat="1" applyFont="1" applyFill="1" applyBorder="1" applyAlignment="1">
      <alignment wrapText="1"/>
    </xf>
    <xf numFmtId="4" fontId="9" fillId="2" borderId="5" xfId="0" applyNumberFormat="1" applyFont="1" applyFill="1" applyBorder="1" applyAlignment="1">
      <alignment horizontal="center" vertical="top"/>
    </xf>
    <xf numFmtId="4" fontId="10" fillId="2" borderId="5" xfId="0" applyNumberFormat="1" applyFont="1" applyFill="1" applyBorder="1" applyAlignment="1">
      <alignment horizontal="center"/>
    </xf>
    <xf numFmtId="4" fontId="8" fillId="2" borderId="22" xfId="0" applyNumberFormat="1" applyFont="1" applyFill="1" applyBorder="1" applyAlignment="1">
      <alignment horizontal="left" vertical="top"/>
    </xf>
    <xf numFmtId="4" fontId="10" fillId="2" borderId="22" xfId="0" applyNumberFormat="1" applyFont="1" applyFill="1" applyBorder="1" applyAlignment="1">
      <alignment horizontal="left" vertical="top"/>
    </xf>
    <xf numFmtId="4" fontId="10" fillId="2" borderId="22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center" vertical="top"/>
    </xf>
    <xf numFmtId="4" fontId="8" fillId="2" borderId="5" xfId="0" applyNumberFormat="1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left" wrapText="1"/>
    </xf>
    <xf numFmtId="49" fontId="9" fillId="2" borderId="28" xfId="0" applyNumberFormat="1" applyFont="1" applyFill="1" applyBorder="1" applyAlignment="1">
      <alignment horizontal="left" wrapText="1"/>
    </xf>
    <xf numFmtId="4" fontId="8" fillId="2" borderId="29" xfId="0" applyNumberFormat="1" applyFont="1" applyFill="1" applyBorder="1" applyAlignment="1">
      <alignment vertical="center"/>
    </xf>
    <xf numFmtId="0" fontId="4" fillId="2" borderId="30" xfId="0" applyFont="1" applyFill="1" applyBorder="1" applyAlignment="1"/>
    <xf numFmtId="0" fontId="4" fillId="2" borderId="31" xfId="0" applyFont="1" applyFill="1" applyBorder="1" applyAlignment="1"/>
    <xf numFmtId="49" fontId="9" fillId="2" borderId="33" xfId="0" applyNumberFormat="1" applyFont="1" applyFill="1" applyBorder="1" applyAlignment="1">
      <alignment wrapText="1"/>
    </xf>
    <xf numFmtId="49" fontId="9" fillId="2" borderId="13" xfId="0" applyNumberFormat="1" applyFont="1" applyFill="1" applyBorder="1" applyAlignment="1">
      <alignment wrapText="1"/>
    </xf>
    <xf numFmtId="4" fontId="8" fillId="2" borderId="30" xfId="0" applyNumberFormat="1" applyFont="1" applyFill="1" applyBorder="1" applyAlignment="1">
      <alignment horizontal="right" vertical="center"/>
    </xf>
    <xf numFmtId="4" fontId="8" fillId="2" borderId="31" xfId="0" applyNumberFormat="1" applyFont="1" applyFill="1" applyBorder="1" applyAlignment="1">
      <alignment horizontal="right" vertical="center"/>
    </xf>
    <xf numFmtId="4" fontId="8" fillId="2" borderId="30" xfId="0" applyNumberFormat="1" applyFont="1" applyFill="1" applyBorder="1" applyAlignment="1">
      <alignment vertical="center"/>
    </xf>
    <xf numFmtId="0" fontId="2" fillId="0" borderId="0" xfId="0" applyFont="1" applyBorder="1" applyAlignment="1"/>
    <xf numFmtId="4" fontId="8" fillId="2" borderId="34" xfId="0" applyNumberFormat="1" applyFont="1" applyFill="1" applyBorder="1" applyAlignment="1">
      <alignment horizontal="left" vertical="top"/>
    </xf>
    <xf numFmtId="4" fontId="10" fillId="2" borderId="34" xfId="0" applyNumberFormat="1" applyFont="1" applyFill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wrapText="1"/>
    </xf>
    <xf numFmtId="4" fontId="10" fillId="2" borderId="34" xfId="0" applyNumberFormat="1" applyFont="1" applyFill="1" applyBorder="1" applyAlignment="1">
      <alignment horizontal="center" vertical="top"/>
    </xf>
    <xf numFmtId="4" fontId="2" fillId="0" borderId="0" xfId="0" applyNumberFormat="1" applyFont="1" applyAlignment="1"/>
    <xf numFmtId="164" fontId="9" fillId="2" borderId="34" xfId="0" applyNumberFormat="1" applyFont="1" applyFill="1" applyBorder="1" applyAlignment="1">
      <alignment horizont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9" fillId="2" borderId="26" xfId="0" applyNumberFormat="1" applyFont="1" applyFill="1" applyBorder="1" applyAlignment="1">
      <alignment horizontal="center" vertical="center" wrapText="1"/>
    </xf>
    <xf numFmtId="4" fontId="9" fillId="2" borderId="23" xfId="0" applyNumberFormat="1" applyFont="1" applyFill="1" applyBorder="1" applyAlignment="1">
      <alignment horizontal="center" vertical="center" wrapText="1"/>
    </xf>
    <xf numFmtId="4" fontId="11" fillId="2" borderId="27" xfId="0" applyNumberFormat="1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 wrapText="1"/>
    </xf>
    <xf numFmtId="4" fontId="11" fillId="2" borderId="32" xfId="0" applyNumberFormat="1" applyFont="1" applyFill="1" applyBorder="1" applyAlignment="1">
      <alignment horizontal="center" vertical="center" wrapText="1"/>
    </xf>
    <xf numFmtId="4" fontId="11" fillId="2" borderId="25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center" vertical="center"/>
    </xf>
    <xf numFmtId="4" fontId="8" fillId="2" borderId="21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16" xfId="0" applyNumberFormat="1" applyFont="1" applyFill="1" applyBorder="1" applyAlignment="1">
      <alignment horizontal="center" vertical="center"/>
    </xf>
    <xf numFmtId="4" fontId="8" fillId="2" borderId="17" xfId="0" applyNumberFormat="1" applyFont="1" applyFill="1" applyBorder="1" applyAlignment="1">
      <alignment horizontal="center" vertical="center"/>
    </xf>
    <xf numFmtId="4" fontId="4" fillId="2" borderId="32" xfId="0" applyNumberFormat="1" applyFont="1" applyFill="1" applyBorder="1" applyAlignment="1">
      <alignment horizontal="center" vertical="center" wrapText="1"/>
    </xf>
    <xf numFmtId="4" fontId="4" fillId="2" borderId="25" xfId="0" applyNumberFormat="1" applyFont="1" applyFill="1" applyBorder="1" applyAlignment="1">
      <alignment horizontal="center" vertical="center" wrapText="1"/>
    </xf>
    <xf numFmtId="4" fontId="9" fillId="2" borderId="13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left" vertical="top"/>
    </xf>
    <xf numFmtId="4" fontId="8" fillId="2" borderId="7" xfId="0" applyNumberFormat="1" applyFont="1" applyFill="1" applyBorder="1" applyAlignment="1">
      <alignment horizontal="left" vertical="top"/>
    </xf>
    <xf numFmtId="4" fontId="8" fillId="2" borderId="8" xfId="0" applyNumberFormat="1" applyFont="1" applyFill="1" applyBorder="1" applyAlignment="1">
      <alignment horizontal="left" vertical="top"/>
    </xf>
    <xf numFmtId="4" fontId="8" fillId="2" borderId="34" xfId="0" applyNumberFormat="1" applyFont="1" applyFill="1" applyBorder="1" applyAlignment="1">
      <alignment horizontal="left" vertical="top"/>
    </xf>
    <xf numFmtId="4" fontId="8" fillId="2" borderId="9" xfId="0" applyNumberFormat="1" applyFont="1" applyFill="1" applyBorder="1" applyAlignment="1">
      <alignment horizontal="left" vertical="center" wrapText="1"/>
    </xf>
    <xf numFmtId="4" fontId="8" fillId="2" borderId="10" xfId="0" applyNumberFormat="1" applyFont="1" applyFill="1" applyBorder="1" applyAlignment="1">
      <alignment horizontal="left" vertical="center" wrapText="1"/>
    </xf>
    <xf numFmtId="4" fontId="8" fillId="2" borderId="11" xfId="0" applyNumberFormat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4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4" fontId="8" fillId="2" borderId="3" xfId="0" applyNumberFormat="1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 wrapText="1"/>
    </xf>
    <xf numFmtId="4" fontId="8" fillId="2" borderId="4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42"/>
  <sheetViews>
    <sheetView tabSelected="1" view="pageBreakPreview" zoomScaleNormal="100" zoomScaleSheetLayoutView="100" workbookViewId="0">
      <selection activeCell="J1" sqref="J1:L3"/>
    </sheetView>
  </sheetViews>
  <sheetFormatPr defaultRowHeight="12.75"/>
  <cols>
    <col min="1" max="5" width="9.140625" style="6"/>
    <col min="6" max="6" width="19.140625" style="6" customWidth="1"/>
    <col min="7" max="7" width="20.5703125" style="6" customWidth="1"/>
    <col min="8" max="8" width="10.42578125" style="8" customWidth="1"/>
    <col min="9" max="13" width="8.5703125" style="8" customWidth="1"/>
    <col min="14" max="14" width="20.28515625" style="6" customWidth="1"/>
    <col min="15" max="15" width="12.5703125" style="8" customWidth="1"/>
    <col min="16" max="25" width="8.42578125" style="8" customWidth="1"/>
    <col min="26" max="26" width="8.42578125" style="6" customWidth="1"/>
    <col min="27" max="28" width="8.42578125" style="13" customWidth="1"/>
    <col min="29" max="29" width="8.42578125" style="6" customWidth="1"/>
    <col min="30" max="30" width="20.28515625" style="6" customWidth="1"/>
    <col min="31" max="31" width="10.42578125" style="6" bestFit="1" customWidth="1"/>
    <col min="32" max="50" width="8.42578125" style="6" customWidth="1"/>
    <col min="51" max="51" width="11.7109375" style="1" customWidth="1"/>
    <col min="52" max="63" width="9.140625" style="1"/>
  </cols>
  <sheetData>
    <row r="1" spans="1:50" s="1" customFormat="1" ht="16.5" customHeight="1">
      <c r="A1" s="88" t="s">
        <v>25</v>
      </c>
      <c r="B1" s="88"/>
      <c r="C1" s="88"/>
      <c r="D1" s="88"/>
      <c r="E1" s="88"/>
      <c r="F1" s="88"/>
      <c r="G1" s="88"/>
      <c r="H1" s="8"/>
      <c r="I1" s="8"/>
      <c r="J1" s="8"/>
      <c r="K1" s="8"/>
      <c r="L1" s="13" t="s">
        <v>55</v>
      </c>
      <c r="M1" s="8"/>
      <c r="N1" s="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6"/>
      <c r="AA1" s="3"/>
      <c r="AB1" s="3"/>
      <c r="AC1" s="6"/>
      <c r="AD1" s="13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</row>
    <row r="2" spans="1:50" s="1" customFormat="1" ht="16.5" customHeight="1">
      <c r="A2" s="88" t="s">
        <v>24</v>
      </c>
      <c r="B2" s="88"/>
      <c r="C2" s="88"/>
      <c r="D2" s="88"/>
      <c r="E2" s="88"/>
      <c r="F2" s="88"/>
      <c r="G2" s="88"/>
      <c r="H2" s="8"/>
      <c r="I2" s="15"/>
      <c r="J2" s="8"/>
      <c r="K2" s="13"/>
      <c r="L2" s="13" t="s">
        <v>56</v>
      </c>
      <c r="M2" s="8"/>
      <c r="N2" s="8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6"/>
      <c r="AD2" s="13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</row>
    <row r="3" spans="1:50" s="1" customFormat="1" ht="16.5" customHeight="1">
      <c r="A3" s="88" t="s">
        <v>23</v>
      </c>
      <c r="B3" s="88"/>
      <c r="C3" s="88"/>
      <c r="D3" s="88"/>
      <c r="E3" s="88"/>
      <c r="F3" s="88"/>
      <c r="G3" s="88"/>
      <c r="H3" s="8"/>
      <c r="I3" s="8"/>
      <c r="J3" s="8"/>
      <c r="K3" s="8"/>
      <c r="L3" s="13" t="s">
        <v>57</v>
      </c>
      <c r="M3" s="8"/>
      <c r="N3" s="8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6"/>
      <c r="AA3" s="4"/>
      <c r="AB3" s="4"/>
      <c r="AC3" s="6"/>
      <c r="AD3" s="13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50" s="1" customFormat="1" ht="16.5" customHeight="1">
      <c r="A4" s="88" t="s">
        <v>22</v>
      </c>
      <c r="B4" s="88"/>
      <c r="C4" s="88"/>
      <c r="D4" s="88"/>
      <c r="E4" s="88"/>
      <c r="F4" s="88"/>
      <c r="G4" s="8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6"/>
      <c r="AA4" s="13"/>
      <c r="AB4" s="13"/>
      <c r="AC4" s="6"/>
      <c r="AD4" s="13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</row>
    <row r="5" spans="1:50" s="1" customFormat="1">
      <c r="A5" s="5" t="s">
        <v>54</v>
      </c>
      <c r="B5" s="5" t="s">
        <v>58</v>
      </c>
      <c r="C5" s="6"/>
      <c r="D5" s="6"/>
      <c r="E5" s="6"/>
      <c r="F5" s="6"/>
      <c r="G5" s="6"/>
      <c r="H5" s="8"/>
      <c r="I5" s="8"/>
      <c r="J5" s="8"/>
      <c r="K5" s="8"/>
      <c r="L5" s="8"/>
      <c r="M5" s="8"/>
      <c r="N5" s="6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6"/>
      <c r="AA5" s="13"/>
      <c r="AB5" s="13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50" s="1" customFormat="1" ht="15.75" customHeight="1">
      <c r="A6" s="60" t="s">
        <v>21</v>
      </c>
      <c r="B6" s="61"/>
      <c r="C6" s="61"/>
      <c r="D6" s="61"/>
      <c r="E6" s="61"/>
      <c r="F6" s="61"/>
      <c r="G6" s="37" t="s">
        <v>20</v>
      </c>
      <c r="H6" s="42"/>
      <c r="I6" s="42"/>
      <c r="J6" s="42"/>
      <c r="K6" s="42"/>
      <c r="L6" s="42"/>
      <c r="M6" s="43"/>
      <c r="N6" s="37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38"/>
      <c r="AA6" s="42"/>
      <c r="AB6" s="42"/>
      <c r="AC6" s="39"/>
      <c r="AD6" s="37"/>
      <c r="AE6" s="44" t="s">
        <v>20</v>
      </c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</row>
    <row r="7" spans="1:50" s="14" customFormat="1" ht="56.25" customHeight="1">
      <c r="A7" s="62"/>
      <c r="B7" s="63"/>
      <c r="C7" s="63"/>
      <c r="D7" s="63"/>
      <c r="E7" s="63"/>
      <c r="F7" s="63"/>
      <c r="G7" s="66" t="s">
        <v>19</v>
      </c>
      <c r="H7" s="58" t="s">
        <v>46</v>
      </c>
      <c r="I7" s="40" t="s">
        <v>59</v>
      </c>
      <c r="J7" s="41" t="s">
        <v>59</v>
      </c>
      <c r="K7" s="41" t="s">
        <v>59</v>
      </c>
      <c r="L7" s="41" t="s">
        <v>59</v>
      </c>
      <c r="M7" s="41" t="s">
        <v>60</v>
      </c>
      <c r="N7" s="68" t="s">
        <v>19</v>
      </c>
      <c r="O7" s="52" t="s">
        <v>47</v>
      </c>
      <c r="P7" s="35" t="s">
        <v>71</v>
      </c>
      <c r="Q7" s="35" t="s">
        <v>71</v>
      </c>
      <c r="R7" s="35" t="s">
        <v>71</v>
      </c>
      <c r="S7" s="35" t="s">
        <v>59</v>
      </c>
      <c r="T7" s="35" t="s">
        <v>59</v>
      </c>
      <c r="U7" s="35" t="s">
        <v>59</v>
      </c>
      <c r="V7" s="35" t="s">
        <v>59</v>
      </c>
      <c r="W7" s="35" t="s">
        <v>59</v>
      </c>
      <c r="X7" s="35" t="s">
        <v>59</v>
      </c>
      <c r="Y7" s="35" t="s">
        <v>59</v>
      </c>
      <c r="Z7" s="35" t="s">
        <v>59</v>
      </c>
      <c r="AA7" s="35" t="s">
        <v>59</v>
      </c>
      <c r="AB7" s="35" t="s">
        <v>59</v>
      </c>
      <c r="AC7" s="35" t="s">
        <v>59</v>
      </c>
      <c r="AD7" s="54" t="s">
        <v>19</v>
      </c>
      <c r="AE7" s="56" t="s">
        <v>53</v>
      </c>
      <c r="AF7" s="35" t="s">
        <v>99</v>
      </c>
      <c r="AG7" s="35" t="s">
        <v>99</v>
      </c>
      <c r="AH7" s="35" t="s">
        <v>99</v>
      </c>
      <c r="AI7" s="35" t="s">
        <v>99</v>
      </c>
      <c r="AJ7" s="35" t="s">
        <v>99</v>
      </c>
      <c r="AK7" s="35" t="s">
        <v>99</v>
      </c>
      <c r="AL7" s="35" t="s">
        <v>99</v>
      </c>
      <c r="AM7" s="35" t="s">
        <v>99</v>
      </c>
      <c r="AN7" s="35" t="s">
        <v>71</v>
      </c>
      <c r="AO7" s="35" t="s">
        <v>71</v>
      </c>
      <c r="AP7" s="35" t="s">
        <v>71</v>
      </c>
      <c r="AQ7" s="35" t="s">
        <v>71</v>
      </c>
      <c r="AR7" s="35" t="s">
        <v>59</v>
      </c>
      <c r="AS7" s="35" t="s">
        <v>59</v>
      </c>
      <c r="AT7" s="35" t="s">
        <v>59</v>
      </c>
      <c r="AU7" s="35" t="s">
        <v>59</v>
      </c>
      <c r="AV7" s="35" t="s">
        <v>59</v>
      </c>
      <c r="AW7" s="35" t="s">
        <v>59</v>
      </c>
      <c r="AX7" s="36" t="s">
        <v>59</v>
      </c>
    </row>
    <row r="8" spans="1:50" s="14" customFormat="1">
      <c r="A8" s="64"/>
      <c r="B8" s="65"/>
      <c r="C8" s="65"/>
      <c r="D8" s="65"/>
      <c r="E8" s="65"/>
      <c r="F8" s="65"/>
      <c r="G8" s="67"/>
      <c r="H8" s="59"/>
      <c r="I8" s="24" t="s">
        <v>61</v>
      </c>
      <c r="J8" s="25" t="s">
        <v>62</v>
      </c>
      <c r="K8" s="25" t="s">
        <v>63</v>
      </c>
      <c r="L8" s="25" t="s">
        <v>64</v>
      </c>
      <c r="M8" s="25" t="s">
        <v>65</v>
      </c>
      <c r="N8" s="69"/>
      <c r="O8" s="53"/>
      <c r="P8" s="22" t="s">
        <v>72</v>
      </c>
      <c r="Q8" s="22" t="s">
        <v>73</v>
      </c>
      <c r="R8" s="22" t="s">
        <v>74</v>
      </c>
      <c r="S8" s="22" t="s">
        <v>75</v>
      </c>
      <c r="T8" s="22" t="s">
        <v>72</v>
      </c>
      <c r="U8" s="22" t="s">
        <v>76</v>
      </c>
      <c r="V8" s="22" t="s">
        <v>77</v>
      </c>
      <c r="W8" s="22" t="s">
        <v>78</v>
      </c>
      <c r="X8" s="22" t="s">
        <v>79</v>
      </c>
      <c r="Y8" s="22" t="s">
        <v>80</v>
      </c>
      <c r="Z8" s="22" t="s">
        <v>81</v>
      </c>
      <c r="AA8" s="22" t="s">
        <v>82</v>
      </c>
      <c r="AB8" s="22" t="s">
        <v>83</v>
      </c>
      <c r="AC8" s="22" t="s">
        <v>84</v>
      </c>
      <c r="AD8" s="55"/>
      <c r="AE8" s="57"/>
      <c r="AF8" s="22" t="s">
        <v>100</v>
      </c>
      <c r="AG8" s="22" t="s">
        <v>101</v>
      </c>
      <c r="AH8" s="22" t="s">
        <v>102</v>
      </c>
      <c r="AI8" s="22" t="s">
        <v>103</v>
      </c>
      <c r="AJ8" s="22" t="s">
        <v>104</v>
      </c>
      <c r="AK8" s="22" t="s">
        <v>105</v>
      </c>
      <c r="AL8" s="22" t="s">
        <v>106</v>
      </c>
      <c r="AM8" s="22" t="s">
        <v>107</v>
      </c>
      <c r="AN8" s="22" t="s">
        <v>100</v>
      </c>
      <c r="AO8" s="22" t="s">
        <v>101</v>
      </c>
      <c r="AP8" s="22" t="s">
        <v>103</v>
      </c>
      <c r="AQ8" s="22" t="s">
        <v>104</v>
      </c>
      <c r="AR8" s="22" t="s">
        <v>108</v>
      </c>
      <c r="AS8" s="22" t="s">
        <v>109</v>
      </c>
      <c r="AT8" s="22" t="s">
        <v>110</v>
      </c>
      <c r="AU8" s="22" t="s">
        <v>111</v>
      </c>
      <c r="AV8" s="22" t="s">
        <v>112</v>
      </c>
      <c r="AW8" s="22" t="s">
        <v>113</v>
      </c>
      <c r="AX8" s="23" t="s">
        <v>114</v>
      </c>
    </row>
    <row r="9" spans="1:50" s="1" customFormat="1">
      <c r="A9" s="77" t="s">
        <v>18</v>
      </c>
      <c r="B9" s="78"/>
      <c r="C9" s="78"/>
      <c r="D9" s="78"/>
      <c r="E9" s="78"/>
      <c r="F9" s="79"/>
      <c r="G9" s="10"/>
      <c r="H9" s="16">
        <f t="shared" ref="H9" si="0">SUM(H10:H13)</f>
        <v>0</v>
      </c>
      <c r="I9" s="16">
        <f t="shared" ref="I9:J9" si="1">SUM(I10:I13)</f>
        <v>0</v>
      </c>
      <c r="J9" s="16">
        <f t="shared" si="1"/>
        <v>0</v>
      </c>
      <c r="K9" s="16">
        <f t="shared" ref="K9:M9" si="2">SUM(K10:K13)</f>
        <v>0</v>
      </c>
      <c r="L9" s="16">
        <f t="shared" si="2"/>
        <v>0</v>
      </c>
      <c r="M9" s="16">
        <f t="shared" si="2"/>
        <v>0</v>
      </c>
      <c r="N9" s="26"/>
      <c r="O9" s="27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7"/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</row>
    <row r="10" spans="1:50" s="1" customFormat="1">
      <c r="A10" s="81" t="s">
        <v>26</v>
      </c>
      <c r="B10" s="81"/>
      <c r="C10" s="81"/>
      <c r="D10" s="81"/>
      <c r="E10" s="81"/>
      <c r="F10" s="81"/>
      <c r="G10" s="9" t="s">
        <v>11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 t="s">
        <v>11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 t="s">
        <v>11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v>0</v>
      </c>
      <c r="AV10" s="18">
        <v>0</v>
      </c>
      <c r="AW10" s="18">
        <v>0</v>
      </c>
      <c r="AX10" s="18">
        <v>0</v>
      </c>
    </row>
    <row r="11" spans="1:50" s="1" customFormat="1">
      <c r="A11" s="81" t="s">
        <v>27</v>
      </c>
      <c r="B11" s="81"/>
      <c r="C11" s="81"/>
      <c r="D11" s="81"/>
      <c r="E11" s="81"/>
      <c r="F11" s="81"/>
      <c r="G11" s="9" t="s">
        <v>11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 t="s">
        <v>11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 t="s">
        <v>11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  <c r="AJ11" s="18">
        <v>0</v>
      </c>
      <c r="AK11" s="18">
        <v>0</v>
      </c>
      <c r="AL11" s="18">
        <v>0</v>
      </c>
      <c r="AM11" s="18">
        <v>0</v>
      </c>
      <c r="AN11" s="18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T11" s="18">
        <v>0</v>
      </c>
      <c r="AU11" s="18">
        <v>0</v>
      </c>
      <c r="AV11" s="18">
        <v>0</v>
      </c>
      <c r="AW11" s="18">
        <v>0</v>
      </c>
      <c r="AX11" s="18">
        <v>0</v>
      </c>
    </row>
    <row r="12" spans="1:50" s="1" customFormat="1">
      <c r="A12" s="81" t="s">
        <v>17</v>
      </c>
      <c r="B12" s="81"/>
      <c r="C12" s="81"/>
      <c r="D12" s="81"/>
      <c r="E12" s="81"/>
      <c r="F12" s="81"/>
      <c r="G12" s="9" t="s">
        <v>11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 t="s">
        <v>11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 t="s">
        <v>11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0</v>
      </c>
      <c r="AX12" s="18">
        <v>0</v>
      </c>
    </row>
    <row r="13" spans="1:50" s="1" customFormat="1">
      <c r="A13" s="81" t="s">
        <v>16</v>
      </c>
      <c r="B13" s="81"/>
      <c r="C13" s="81"/>
      <c r="D13" s="81"/>
      <c r="E13" s="81"/>
      <c r="F13" s="81"/>
      <c r="G13" s="9" t="s">
        <v>15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 t="s">
        <v>15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 t="s">
        <v>15</v>
      </c>
      <c r="AE13" s="18">
        <v>0</v>
      </c>
      <c r="AF13" s="18">
        <v>0</v>
      </c>
      <c r="AG13" s="18">
        <v>0</v>
      </c>
      <c r="AH13" s="18">
        <v>0</v>
      </c>
      <c r="AI13" s="18">
        <v>0</v>
      </c>
      <c r="AJ13" s="18">
        <v>0</v>
      </c>
      <c r="AK13" s="18">
        <v>0</v>
      </c>
      <c r="AL13" s="18">
        <v>0</v>
      </c>
      <c r="AM13" s="18">
        <v>0</v>
      </c>
      <c r="AN13" s="18">
        <v>0</v>
      </c>
      <c r="AO13" s="18">
        <v>0</v>
      </c>
      <c r="AP13" s="18">
        <v>0</v>
      </c>
      <c r="AQ13" s="18">
        <v>0</v>
      </c>
      <c r="AR13" s="18">
        <v>0</v>
      </c>
      <c r="AS13" s="18">
        <v>0</v>
      </c>
      <c r="AT13" s="18">
        <v>0</v>
      </c>
      <c r="AU13" s="18">
        <v>0</v>
      </c>
      <c r="AV13" s="18">
        <v>0</v>
      </c>
      <c r="AW13" s="18">
        <v>0</v>
      </c>
      <c r="AX13" s="18">
        <v>0</v>
      </c>
    </row>
    <row r="14" spans="1:50" s="1" customFormat="1" ht="23.85" customHeight="1">
      <c r="A14" s="85" t="s">
        <v>14</v>
      </c>
      <c r="B14" s="86"/>
      <c r="C14" s="86"/>
      <c r="D14" s="86"/>
      <c r="E14" s="86"/>
      <c r="F14" s="87"/>
      <c r="G14" s="10"/>
      <c r="H14" s="16">
        <f t="shared" ref="H14" si="3">SUM(H15:H21)</f>
        <v>4.6500000000000004</v>
      </c>
      <c r="I14" s="16">
        <f t="shared" ref="I14:M14" si="4">SUM(I15:I21)</f>
        <v>41392.44</v>
      </c>
      <c r="J14" s="16">
        <f t="shared" si="4"/>
        <v>25467.120000000003</v>
      </c>
      <c r="K14" s="16">
        <f t="shared" si="4"/>
        <v>22727.34</v>
      </c>
      <c r="L14" s="16">
        <f t="shared" si="4"/>
        <v>25947</v>
      </c>
      <c r="M14" s="16">
        <f t="shared" si="4"/>
        <v>22688.280000000002</v>
      </c>
      <c r="N14" s="17"/>
      <c r="O14" s="16">
        <v>11.129999999999999</v>
      </c>
      <c r="P14" s="16">
        <f t="shared" ref="P14:Z14" si="5">SUM(P15:P21)</f>
        <v>57778.055999999997</v>
      </c>
      <c r="Q14" s="16">
        <f t="shared" si="5"/>
        <v>69811.812000000005</v>
      </c>
      <c r="R14" s="16">
        <f t="shared" si="5"/>
        <v>61357.463999999993</v>
      </c>
      <c r="S14" s="16">
        <f t="shared" si="5"/>
        <v>44916.228000000003</v>
      </c>
      <c r="T14" s="16">
        <f t="shared" si="5"/>
        <v>54105.156000000003</v>
      </c>
      <c r="U14" s="16">
        <f t="shared" si="5"/>
        <v>57070.188000000009</v>
      </c>
      <c r="V14" s="16">
        <f t="shared" si="5"/>
        <v>55881.504000000001</v>
      </c>
      <c r="W14" s="16">
        <f t="shared" si="5"/>
        <v>54145.224000000002</v>
      </c>
      <c r="X14" s="16">
        <f t="shared" si="5"/>
        <v>56295.54</v>
      </c>
      <c r="Y14" s="16">
        <f t="shared" si="5"/>
        <v>55440.756000000008</v>
      </c>
      <c r="Z14" s="16">
        <f t="shared" si="5"/>
        <v>82419.876000000004</v>
      </c>
      <c r="AA14" s="16">
        <f t="shared" ref="AA14:AC14" si="6">SUM(AA15:AA21)</f>
        <v>68943.672000000006</v>
      </c>
      <c r="AB14" s="16">
        <f t="shared" si="6"/>
        <v>70092.288</v>
      </c>
      <c r="AC14" s="16">
        <f t="shared" si="6"/>
        <v>67821.767999999996</v>
      </c>
      <c r="AD14" s="17"/>
      <c r="AE14" s="16">
        <v>10.45</v>
      </c>
      <c r="AF14" s="16">
        <f t="shared" ref="AF14:AG14" si="7">SUM(AF15:AF21)</f>
        <v>64380.36</v>
      </c>
      <c r="AG14" s="16">
        <f t="shared" si="7"/>
        <v>51012.72</v>
      </c>
      <c r="AH14" s="16">
        <f t="shared" ref="AH14:AK14" si="8">SUM(AH15:AH21)</f>
        <v>65358.48000000001</v>
      </c>
      <c r="AI14" s="16">
        <f t="shared" si="8"/>
        <v>91717.56</v>
      </c>
      <c r="AJ14" s="16">
        <f t="shared" si="8"/>
        <v>89936.88</v>
      </c>
      <c r="AK14" s="16">
        <f t="shared" si="8"/>
        <v>89259.72</v>
      </c>
      <c r="AL14" s="16">
        <f t="shared" ref="AL14:AS14" si="9">SUM(AL15:AL21)</f>
        <v>52028.46</v>
      </c>
      <c r="AM14" s="16">
        <f t="shared" si="9"/>
        <v>52680.540000000008</v>
      </c>
      <c r="AN14" s="16">
        <f t="shared" si="9"/>
        <v>66875.819999999992</v>
      </c>
      <c r="AO14" s="16">
        <f t="shared" si="9"/>
        <v>66662.640000000014</v>
      </c>
      <c r="AP14" s="16">
        <f t="shared" si="9"/>
        <v>58336.08</v>
      </c>
      <c r="AQ14" s="16">
        <f t="shared" si="9"/>
        <v>86488.38</v>
      </c>
      <c r="AR14" s="16">
        <f t="shared" si="9"/>
        <v>81271.740000000005</v>
      </c>
      <c r="AS14" s="16">
        <f t="shared" si="9"/>
        <v>42322.5</v>
      </c>
      <c r="AT14" s="16">
        <f t="shared" ref="AT14:AX14" si="10">SUM(AT15:AT21)</f>
        <v>41306.759999999995</v>
      </c>
      <c r="AU14" s="16">
        <f t="shared" si="10"/>
        <v>88469.700000000012</v>
      </c>
      <c r="AV14" s="16">
        <f t="shared" si="10"/>
        <v>64982.280000000013</v>
      </c>
      <c r="AW14" s="16">
        <f t="shared" si="10"/>
        <v>64380.36</v>
      </c>
      <c r="AX14" s="16">
        <f t="shared" si="10"/>
        <v>53407.86</v>
      </c>
    </row>
    <row r="15" spans="1:50" s="1" customFormat="1">
      <c r="A15" s="81" t="s">
        <v>40</v>
      </c>
      <c r="B15" s="81"/>
      <c r="C15" s="81"/>
      <c r="D15" s="81"/>
      <c r="E15" s="81"/>
      <c r="F15" s="81"/>
      <c r="G15" s="9" t="s">
        <v>41</v>
      </c>
      <c r="H15" s="18">
        <v>1.08</v>
      </c>
      <c r="I15" s="18">
        <f>1.08*12*I35</f>
        <v>9613.7279999999992</v>
      </c>
      <c r="J15" s="18">
        <f t="shared" ref="J15:M15" si="11">1.08*12*J35</f>
        <v>5914.9440000000004</v>
      </c>
      <c r="K15" s="18">
        <f t="shared" si="11"/>
        <v>5278.6080000000002</v>
      </c>
      <c r="L15" s="18">
        <f t="shared" si="11"/>
        <v>6026.4000000000005</v>
      </c>
      <c r="M15" s="18">
        <f t="shared" si="11"/>
        <v>5269.536000000001</v>
      </c>
      <c r="N15" s="18" t="s">
        <v>41</v>
      </c>
      <c r="O15" s="18">
        <v>0.95</v>
      </c>
      <c r="P15" s="18">
        <f>0.95*12*P35</f>
        <v>4931.6399999999994</v>
      </c>
      <c r="Q15" s="18">
        <f t="shared" ref="Q15:Z15" si="12">0.95*12*Q35</f>
        <v>5958.78</v>
      </c>
      <c r="R15" s="18">
        <f t="shared" si="12"/>
        <v>5237.1599999999989</v>
      </c>
      <c r="S15" s="18">
        <f t="shared" si="12"/>
        <v>3833.8199999999997</v>
      </c>
      <c r="T15" s="18">
        <f t="shared" si="12"/>
        <v>4618.1399999999994</v>
      </c>
      <c r="U15" s="18">
        <f t="shared" si="12"/>
        <v>4871.2199999999993</v>
      </c>
      <c r="V15" s="18">
        <f t="shared" si="12"/>
        <v>4769.7599999999993</v>
      </c>
      <c r="W15" s="18">
        <f t="shared" si="12"/>
        <v>4621.5599999999995</v>
      </c>
      <c r="X15" s="18">
        <f t="shared" si="12"/>
        <v>4805.0999999999995</v>
      </c>
      <c r="Y15" s="18">
        <f t="shared" si="12"/>
        <v>4732.1399999999994</v>
      </c>
      <c r="Z15" s="18">
        <f t="shared" si="12"/>
        <v>7034.94</v>
      </c>
      <c r="AA15" s="18">
        <f t="shared" ref="AA15:AC15" si="13">0.95*12*AA35</f>
        <v>5884.6799999999994</v>
      </c>
      <c r="AB15" s="18">
        <f t="shared" si="13"/>
        <v>5982.7199999999984</v>
      </c>
      <c r="AC15" s="18">
        <f t="shared" si="13"/>
        <v>5788.9199999999992</v>
      </c>
      <c r="AD15" s="18" t="s">
        <v>41</v>
      </c>
      <c r="AE15" s="18">
        <v>0.96</v>
      </c>
      <c r="AF15" s="18">
        <f t="shared" ref="AF15:AX15" si="14">0.96*12*AF35</f>
        <v>5914.3679999999995</v>
      </c>
      <c r="AG15" s="18">
        <f t="shared" si="14"/>
        <v>4686.3360000000002</v>
      </c>
      <c r="AH15" s="18">
        <f t="shared" si="14"/>
        <v>6004.2240000000002</v>
      </c>
      <c r="AI15" s="18">
        <f t="shared" si="14"/>
        <v>8425.7279999999992</v>
      </c>
      <c r="AJ15" s="18">
        <f t="shared" si="14"/>
        <v>8262.1440000000002</v>
      </c>
      <c r="AK15" s="18">
        <f t="shared" si="14"/>
        <v>8199.9359999999997</v>
      </c>
      <c r="AL15" s="18">
        <f t="shared" si="14"/>
        <v>4779.6479999999992</v>
      </c>
      <c r="AM15" s="18">
        <f t="shared" si="14"/>
        <v>4839.5519999999997</v>
      </c>
      <c r="AN15" s="18">
        <f t="shared" si="14"/>
        <v>6143.6159999999991</v>
      </c>
      <c r="AO15" s="18">
        <f t="shared" si="14"/>
        <v>6124.0320000000002</v>
      </c>
      <c r="AP15" s="18">
        <f t="shared" si="14"/>
        <v>5359.1039999999994</v>
      </c>
      <c r="AQ15" s="18">
        <f t="shared" si="14"/>
        <v>7945.3440000000001</v>
      </c>
      <c r="AR15" s="18">
        <f t="shared" si="14"/>
        <v>7466.1120000000001</v>
      </c>
      <c r="AS15" s="18">
        <f t="shared" si="14"/>
        <v>3888</v>
      </c>
      <c r="AT15" s="18">
        <f t="shared" si="14"/>
        <v>3794.6879999999996</v>
      </c>
      <c r="AU15" s="18">
        <f t="shared" si="14"/>
        <v>8127.36</v>
      </c>
      <c r="AV15" s="18">
        <f t="shared" si="14"/>
        <v>5969.6640000000007</v>
      </c>
      <c r="AW15" s="18">
        <f t="shared" si="14"/>
        <v>5914.3679999999995</v>
      </c>
      <c r="AX15" s="18">
        <f t="shared" si="14"/>
        <v>4906.3679999999995</v>
      </c>
    </row>
    <row r="16" spans="1:50" s="1" customFormat="1">
      <c r="A16" s="81" t="s">
        <v>31</v>
      </c>
      <c r="B16" s="81"/>
      <c r="C16" s="81"/>
      <c r="D16" s="81"/>
      <c r="E16" s="81"/>
      <c r="F16" s="81"/>
      <c r="G16" s="9" t="s">
        <v>13</v>
      </c>
      <c r="H16" s="18">
        <v>0.41</v>
      </c>
      <c r="I16" s="18">
        <f>0.41*12*I35</f>
        <v>3649.6559999999999</v>
      </c>
      <c r="J16" s="18">
        <f t="shared" ref="J16:M16" si="15">0.41*12*J35</f>
        <v>2245.4879999999998</v>
      </c>
      <c r="K16" s="18">
        <f t="shared" si="15"/>
        <v>2003.9159999999999</v>
      </c>
      <c r="L16" s="18">
        <f t="shared" si="15"/>
        <v>2287.8000000000002</v>
      </c>
      <c r="M16" s="18">
        <f t="shared" si="15"/>
        <v>2000.472</v>
      </c>
      <c r="N16" s="18" t="s">
        <v>13</v>
      </c>
      <c r="O16" s="18">
        <v>0.89</v>
      </c>
      <c r="P16" s="18">
        <f>0.89*12*P35</f>
        <v>4620.1679999999997</v>
      </c>
      <c r="Q16" s="18">
        <f t="shared" ref="Q16:Z16" si="16">0.89*12*Q35</f>
        <v>5582.4360000000006</v>
      </c>
      <c r="R16" s="18">
        <f t="shared" si="16"/>
        <v>4906.3919999999998</v>
      </c>
      <c r="S16" s="18">
        <f t="shared" si="16"/>
        <v>3591.6840000000002</v>
      </c>
      <c r="T16" s="18">
        <f t="shared" si="16"/>
        <v>4326.4679999999998</v>
      </c>
      <c r="U16" s="18">
        <f t="shared" si="16"/>
        <v>4563.5640000000003</v>
      </c>
      <c r="V16" s="18">
        <f t="shared" si="16"/>
        <v>4468.5119999999997</v>
      </c>
      <c r="W16" s="18">
        <f t="shared" si="16"/>
        <v>4329.6719999999996</v>
      </c>
      <c r="X16" s="18">
        <f t="shared" si="16"/>
        <v>4501.62</v>
      </c>
      <c r="Y16" s="18">
        <f t="shared" si="16"/>
        <v>4433.268</v>
      </c>
      <c r="Z16" s="18">
        <f t="shared" si="16"/>
        <v>6590.6279999999997</v>
      </c>
      <c r="AA16" s="18">
        <f t="shared" ref="AA16:AC16" si="17">0.89*12*AA35</f>
        <v>5513.0160000000005</v>
      </c>
      <c r="AB16" s="18">
        <f t="shared" si="17"/>
        <v>5604.8639999999996</v>
      </c>
      <c r="AC16" s="18">
        <f t="shared" si="17"/>
        <v>5423.3040000000001</v>
      </c>
      <c r="AD16" s="18" t="s">
        <v>13</v>
      </c>
      <c r="AE16" s="18">
        <v>0.47</v>
      </c>
      <c r="AF16" s="18">
        <f t="shared" ref="AF16:AX16" si="18">0.47*12*AF35</f>
        <v>2895.5759999999996</v>
      </c>
      <c r="AG16" s="18">
        <f t="shared" si="18"/>
        <v>2294.3519999999999</v>
      </c>
      <c r="AH16" s="18">
        <f t="shared" si="18"/>
        <v>2939.5680000000002</v>
      </c>
      <c r="AI16" s="18">
        <f t="shared" si="18"/>
        <v>4125.0959999999995</v>
      </c>
      <c r="AJ16" s="18">
        <f t="shared" si="18"/>
        <v>4045.0079999999998</v>
      </c>
      <c r="AK16" s="18">
        <f t="shared" si="18"/>
        <v>4014.5519999999997</v>
      </c>
      <c r="AL16" s="18">
        <f t="shared" si="18"/>
        <v>2340.0359999999996</v>
      </c>
      <c r="AM16" s="18">
        <f t="shared" si="18"/>
        <v>2369.364</v>
      </c>
      <c r="AN16" s="18">
        <f t="shared" si="18"/>
        <v>3007.8119999999994</v>
      </c>
      <c r="AO16" s="18">
        <f t="shared" si="18"/>
        <v>2998.2240000000002</v>
      </c>
      <c r="AP16" s="18">
        <f t="shared" si="18"/>
        <v>2623.7279999999996</v>
      </c>
      <c r="AQ16" s="18">
        <f t="shared" si="18"/>
        <v>3889.9079999999999</v>
      </c>
      <c r="AR16" s="18">
        <f t="shared" si="18"/>
        <v>3655.2840000000001</v>
      </c>
      <c r="AS16" s="18">
        <f t="shared" si="18"/>
        <v>1903.5</v>
      </c>
      <c r="AT16" s="18">
        <f t="shared" si="18"/>
        <v>1857.8159999999998</v>
      </c>
      <c r="AU16" s="18">
        <f t="shared" si="18"/>
        <v>3979.02</v>
      </c>
      <c r="AV16" s="18">
        <f t="shared" si="18"/>
        <v>2922.6480000000001</v>
      </c>
      <c r="AW16" s="18">
        <f t="shared" si="18"/>
        <v>2895.5759999999996</v>
      </c>
      <c r="AX16" s="18">
        <f t="shared" si="18"/>
        <v>2402.0759999999996</v>
      </c>
    </row>
    <row r="17" spans="1:50" s="1" customFormat="1">
      <c r="A17" s="81" t="s">
        <v>32</v>
      </c>
      <c r="B17" s="81"/>
      <c r="C17" s="81"/>
      <c r="D17" s="81"/>
      <c r="E17" s="81"/>
      <c r="F17" s="81"/>
      <c r="G17" s="9" t="s">
        <v>42</v>
      </c>
      <c r="H17" s="18">
        <v>0.32</v>
      </c>
      <c r="I17" s="18">
        <f>0.32*12*I35</f>
        <v>2848.5119999999997</v>
      </c>
      <c r="J17" s="18">
        <f t="shared" ref="J17:M17" si="19">0.32*12*J35</f>
        <v>1752.5759999999998</v>
      </c>
      <c r="K17" s="18">
        <f t="shared" si="19"/>
        <v>1564.0319999999999</v>
      </c>
      <c r="L17" s="18">
        <f t="shared" si="19"/>
        <v>1785.6</v>
      </c>
      <c r="M17" s="18">
        <f t="shared" si="19"/>
        <v>1561.3440000000001</v>
      </c>
      <c r="N17" s="18" t="s">
        <v>42</v>
      </c>
      <c r="O17" s="18">
        <v>0.38</v>
      </c>
      <c r="P17" s="18">
        <f>0.38*12*P35</f>
        <v>1972.6560000000004</v>
      </c>
      <c r="Q17" s="18">
        <f t="shared" ref="Q17:Z17" si="20">0.38*12*Q35</f>
        <v>2383.5120000000006</v>
      </c>
      <c r="R17" s="18">
        <f t="shared" si="20"/>
        <v>2094.864</v>
      </c>
      <c r="S17" s="18">
        <f t="shared" si="20"/>
        <v>1533.5280000000002</v>
      </c>
      <c r="T17" s="18">
        <f t="shared" si="20"/>
        <v>1847.2560000000003</v>
      </c>
      <c r="U17" s="18">
        <f t="shared" si="20"/>
        <v>1948.4880000000003</v>
      </c>
      <c r="V17" s="18">
        <f t="shared" si="20"/>
        <v>1907.904</v>
      </c>
      <c r="W17" s="18">
        <f t="shared" si="20"/>
        <v>1848.624</v>
      </c>
      <c r="X17" s="18">
        <f t="shared" si="20"/>
        <v>1922.0400000000002</v>
      </c>
      <c r="Y17" s="18">
        <f t="shared" si="20"/>
        <v>1892.8560000000002</v>
      </c>
      <c r="Z17" s="18">
        <f t="shared" si="20"/>
        <v>2813.9760000000006</v>
      </c>
      <c r="AA17" s="18">
        <f t="shared" ref="AA17:AC17" si="21">0.38*12*AA35</f>
        <v>2353.8720000000003</v>
      </c>
      <c r="AB17" s="18">
        <f t="shared" si="21"/>
        <v>2393.0880000000002</v>
      </c>
      <c r="AC17" s="18">
        <f t="shared" si="21"/>
        <v>2315.5680000000002</v>
      </c>
      <c r="AD17" s="18" t="s">
        <v>42</v>
      </c>
      <c r="AE17" s="18">
        <v>0.23</v>
      </c>
      <c r="AF17" s="18">
        <f t="shared" ref="AF17:AX17" si="22">0.23*12*AF35</f>
        <v>1416.9840000000002</v>
      </c>
      <c r="AG17" s="18">
        <f t="shared" si="22"/>
        <v>1122.768</v>
      </c>
      <c r="AH17" s="18">
        <f t="shared" si="22"/>
        <v>1438.5120000000002</v>
      </c>
      <c r="AI17" s="18">
        <f t="shared" si="22"/>
        <v>2018.6640000000002</v>
      </c>
      <c r="AJ17" s="18">
        <f t="shared" si="22"/>
        <v>1979.4720000000002</v>
      </c>
      <c r="AK17" s="18">
        <f t="shared" si="22"/>
        <v>1964.568</v>
      </c>
      <c r="AL17" s="18">
        <f t="shared" si="22"/>
        <v>1145.124</v>
      </c>
      <c r="AM17" s="18">
        <f t="shared" si="22"/>
        <v>1159.4760000000001</v>
      </c>
      <c r="AN17" s="18">
        <f t="shared" si="22"/>
        <v>1471.9079999999999</v>
      </c>
      <c r="AO17" s="18">
        <f t="shared" si="22"/>
        <v>1467.2160000000001</v>
      </c>
      <c r="AP17" s="18">
        <f t="shared" si="22"/>
        <v>1283.952</v>
      </c>
      <c r="AQ17" s="18">
        <f t="shared" si="22"/>
        <v>1903.5720000000003</v>
      </c>
      <c r="AR17" s="18">
        <f t="shared" si="22"/>
        <v>1788.7560000000003</v>
      </c>
      <c r="AS17" s="18">
        <f t="shared" si="22"/>
        <v>931.50000000000011</v>
      </c>
      <c r="AT17" s="18">
        <f t="shared" si="22"/>
        <v>909.14400000000001</v>
      </c>
      <c r="AU17" s="18">
        <f t="shared" si="22"/>
        <v>1947.18</v>
      </c>
      <c r="AV17" s="18">
        <f t="shared" si="22"/>
        <v>1430.2320000000002</v>
      </c>
      <c r="AW17" s="18">
        <f t="shared" si="22"/>
        <v>1416.9840000000002</v>
      </c>
      <c r="AX17" s="18">
        <f t="shared" si="22"/>
        <v>1175.4839999999999</v>
      </c>
    </row>
    <row r="18" spans="1:50" s="1" customFormat="1" ht="50.25" customHeight="1">
      <c r="A18" s="82" t="s">
        <v>33</v>
      </c>
      <c r="B18" s="83"/>
      <c r="C18" s="83"/>
      <c r="D18" s="83"/>
      <c r="E18" s="83"/>
      <c r="F18" s="84"/>
      <c r="G18" s="11" t="s">
        <v>12</v>
      </c>
      <c r="H18" s="18">
        <v>0.17</v>
      </c>
      <c r="I18" s="18">
        <f>0.17*12*I35</f>
        <v>1513.2719999999999</v>
      </c>
      <c r="J18" s="18">
        <f t="shared" ref="J18:M18" si="23">0.17*12*J35</f>
        <v>931.05599999999993</v>
      </c>
      <c r="K18" s="18">
        <f t="shared" si="23"/>
        <v>830.89200000000005</v>
      </c>
      <c r="L18" s="18">
        <f t="shared" si="23"/>
        <v>948.6</v>
      </c>
      <c r="M18" s="18">
        <f t="shared" si="23"/>
        <v>829.46400000000006</v>
      </c>
      <c r="N18" s="19" t="s">
        <v>12</v>
      </c>
      <c r="O18" s="18">
        <v>0.27</v>
      </c>
      <c r="P18" s="18">
        <f>0.27*12*P35</f>
        <v>1401.6240000000003</v>
      </c>
      <c r="Q18" s="18">
        <f t="shared" ref="Q18:Z18" si="24">0.27*12*Q35</f>
        <v>1693.5480000000002</v>
      </c>
      <c r="R18" s="18">
        <f t="shared" si="24"/>
        <v>1488.4560000000001</v>
      </c>
      <c r="S18" s="18">
        <f t="shared" si="24"/>
        <v>1089.6120000000001</v>
      </c>
      <c r="T18" s="18">
        <f t="shared" si="24"/>
        <v>1312.5240000000001</v>
      </c>
      <c r="U18" s="18">
        <f t="shared" si="24"/>
        <v>1384.4520000000002</v>
      </c>
      <c r="V18" s="18">
        <f t="shared" si="24"/>
        <v>1355.616</v>
      </c>
      <c r="W18" s="18">
        <f t="shared" si="24"/>
        <v>1313.4960000000001</v>
      </c>
      <c r="X18" s="18">
        <f t="shared" si="24"/>
        <v>1365.66</v>
      </c>
      <c r="Y18" s="18">
        <f t="shared" si="24"/>
        <v>1344.9240000000002</v>
      </c>
      <c r="Z18" s="18">
        <f t="shared" si="24"/>
        <v>1999.4040000000002</v>
      </c>
      <c r="AA18" s="18">
        <f t="shared" ref="AA18:AC18" si="25">0.27*12*AA35</f>
        <v>1672.4880000000003</v>
      </c>
      <c r="AB18" s="18">
        <f t="shared" si="25"/>
        <v>1700.3519999999999</v>
      </c>
      <c r="AC18" s="18">
        <f t="shared" si="25"/>
        <v>1645.2720000000002</v>
      </c>
      <c r="AD18" s="19" t="s">
        <v>12</v>
      </c>
      <c r="AE18" s="18">
        <v>0.15</v>
      </c>
      <c r="AF18" s="18">
        <f t="shared" ref="AF18:AX18" si="26">0.15*12*AF35</f>
        <v>924.11999999999989</v>
      </c>
      <c r="AG18" s="18">
        <f t="shared" si="26"/>
        <v>732.2399999999999</v>
      </c>
      <c r="AH18" s="18">
        <f t="shared" si="26"/>
        <v>938.16</v>
      </c>
      <c r="AI18" s="18">
        <f t="shared" si="26"/>
        <v>1316.5199999999998</v>
      </c>
      <c r="AJ18" s="18">
        <f t="shared" si="26"/>
        <v>1290.96</v>
      </c>
      <c r="AK18" s="18">
        <f t="shared" si="26"/>
        <v>1281.2399999999998</v>
      </c>
      <c r="AL18" s="18">
        <f t="shared" si="26"/>
        <v>746.81999999999994</v>
      </c>
      <c r="AM18" s="18">
        <f t="shared" si="26"/>
        <v>756.18</v>
      </c>
      <c r="AN18" s="18">
        <f t="shared" si="26"/>
        <v>959.93999999999983</v>
      </c>
      <c r="AO18" s="18">
        <f t="shared" si="26"/>
        <v>956.88</v>
      </c>
      <c r="AP18" s="18">
        <f t="shared" si="26"/>
        <v>837.3599999999999</v>
      </c>
      <c r="AQ18" s="18">
        <f t="shared" si="26"/>
        <v>1241.46</v>
      </c>
      <c r="AR18" s="18">
        <f t="shared" si="26"/>
        <v>1166.58</v>
      </c>
      <c r="AS18" s="18">
        <f t="shared" si="26"/>
        <v>607.49999999999989</v>
      </c>
      <c r="AT18" s="18">
        <f t="shared" si="26"/>
        <v>592.91999999999985</v>
      </c>
      <c r="AU18" s="18">
        <f t="shared" si="26"/>
        <v>1269.8999999999999</v>
      </c>
      <c r="AV18" s="18">
        <f t="shared" si="26"/>
        <v>932.76</v>
      </c>
      <c r="AW18" s="18">
        <f t="shared" si="26"/>
        <v>924.11999999999989</v>
      </c>
      <c r="AX18" s="18">
        <f t="shared" si="26"/>
        <v>766.61999999999989</v>
      </c>
    </row>
    <row r="19" spans="1:50" s="1" customFormat="1">
      <c r="A19" s="80" t="s">
        <v>34</v>
      </c>
      <c r="B19" s="81"/>
      <c r="C19" s="81"/>
      <c r="D19" s="81"/>
      <c r="E19" s="81"/>
      <c r="F19" s="81"/>
      <c r="G19" s="9" t="s">
        <v>43</v>
      </c>
      <c r="H19" s="18">
        <v>0.05</v>
      </c>
      <c r="I19" s="18">
        <f>0.05*12*I35</f>
        <v>445.08000000000004</v>
      </c>
      <c r="J19" s="18">
        <f t="shared" ref="J19:M19" si="27">0.05*12*J35</f>
        <v>273.84000000000003</v>
      </c>
      <c r="K19" s="18">
        <f t="shared" si="27"/>
        <v>244.38000000000005</v>
      </c>
      <c r="L19" s="18">
        <f t="shared" si="27"/>
        <v>279.00000000000006</v>
      </c>
      <c r="M19" s="18">
        <f t="shared" si="27"/>
        <v>243.96000000000004</v>
      </c>
      <c r="N19" s="18" t="s">
        <v>43</v>
      </c>
      <c r="O19" s="18">
        <v>0.05</v>
      </c>
      <c r="P19" s="18">
        <f t="shared" ref="P19:Z19" si="28">0.05*12*P35</f>
        <v>259.56000000000006</v>
      </c>
      <c r="Q19" s="18">
        <f t="shared" si="28"/>
        <v>313.62000000000006</v>
      </c>
      <c r="R19" s="18">
        <f t="shared" si="28"/>
        <v>275.64000000000004</v>
      </c>
      <c r="S19" s="18">
        <f t="shared" si="28"/>
        <v>201.78000000000003</v>
      </c>
      <c r="T19" s="18">
        <f t="shared" si="28"/>
        <v>243.06000000000006</v>
      </c>
      <c r="U19" s="18">
        <f t="shared" si="28"/>
        <v>256.38000000000005</v>
      </c>
      <c r="V19" s="18">
        <f t="shared" si="28"/>
        <v>251.04000000000002</v>
      </c>
      <c r="W19" s="18">
        <f t="shared" si="28"/>
        <v>243.24</v>
      </c>
      <c r="X19" s="18">
        <f t="shared" si="28"/>
        <v>252.90000000000003</v>
      </c>
      <c r="Y19" s="18">
        <f t="shared" si="28"/>
        <v>249.06000000000006</v>
      </c>
      <c r="Z19" s="18">
        <f t="shared" si="28"/>
        <v>370.26000000000005</v>
      </c>
      <c r="AA19" s="18">
        <f t="shared" ref="AA19:AC19" si="29">0.05*12*AA35</f>
        <v>309.72000000000008</v>
      </c>
      <c r="AB19" s="18">
        <f t="shared" si="29"/>
        <v>314.88</v>
      </c>
      <c r="AC19" s="18">
        <f t="shared" si="29"/>
        <v>304.68000000000006</v>
      </c>
      <c r="AD19" s="18" t="s">
        <v>43</v>
      </c>
      <c r="AE19" s="18">
        <v>0.05</v>
      </c>
      <c r="AF19" s="18">
        <f t="shared" ref="AF19:AG19" si="30">0.05*12*AF35</f>
        <v>308.04000000000002</v>
      </c>
      <c r="AG19" s="18">
        <f t="shared" si="30"/>
        <v>244.08000000000004</v>
      </c>
      <c r="AH19" s="18">
        <f t="shared" ref="AH19:AK19" si="31">0.05*12*AH35</f>
        <v>312.72000000000008</v>
      </c>
      <c r="AI19" s="18">
        <f t="shared" si="31"/>
        <v>438.84000000000003</v>
      </c>
      <c r="AJ19" s="18">
        <f t="shared" si="31"/>
        <v>430.32000000000011</v>
      </c>
      <c r="AK19" s="18">
        <f t="shared" si="31"/>
        <v>427.08000000000004</v>
      </c>
      <c r="AL19" s="18">
        <f t="shared" ref="AL19:AS19" si="32">0.05*12*AL35</f>
        <v>248.94000000000003</v>
      </c>
      <c r="AM19" s="18">
        <f t="shared" si="32"/>
        <v>252.06000000000006</v>
      </c>
      <c r="AN19" s="18">
        <f t="shared" si="32"/>
        <v>319.98</v>
      </c>
      <c r="AO19" s="18">
        <f t="shared" si="32"/>
        <v>318.96000000000004</v>
      </c>
      <c r="AP19" s="18">
        <f t="shared" si="32"/>
        <v>279.12000000000006</v>
      </c>
      <c r="AQ19" s="18">
        <f t="shared" si="32"/>
        <v>413.82000000000011</v>
      </c>
      <c r="AR19" s="18">
        <f t="shared" si="32"/>
        <v>388.86000000000007</v>
      </c>
      <c r="AS19" s="18">
        <f t="shared" si="32"/>
        <v>202.50000000000003</v>
      </c>
      <c r="AT19" s="18">
        <f t="shared" ref="AT19:AX19" si="33">0.05*12*AT35</f>
        <v>197.64000000000001</v>
      </c>
      <c r="AU19" s="18">
        <f t="shared" si="33"/>
        <v>423.30000000000007</v>
      </c>
      <c r="AV19" s="18">
        <f t="shared" si="33"/>
        <v>310.92000000000007</v>
      </c>
      <c r="AW19" s="18">
        <f t="shared" si="33"/>
        <v>308.04000000000002</v>
      </c>
      <c r="AX19" s="18">
        <f t="shared" si="33"/>
        <v>255.54000000000002</v>
      </c>
    </row>
    <row r="20" spans="1:50" s="1" customFormat="1" ht="36">
      <c r="A20" s="81" t="s">
        <v>35</v>
      </c>
      <c r="B20" s="81"/>
      <c r="C20" s="81"/>
      <c r="D20" s="81"/>
      <c r="E20" s="81"/>
      <c r="F20" s="81"/>
      <c r="G20" s="7" t="s">
        <v>49</v>
      </c>
      <c r="H20" s="18">
        <v>2.62</v>
      </c>
      <c r="I20" s="18">
        <f>2.62*12*I35</f>
        <v>23322.191999999999</v>
      </c>
      <c r="J20" s="18">
        <f t="shared" ref="J20:M20" si="34">2.62*12*J35</f>
        <v>14349.216</v>
      </c>
      <c r="K20" s="18">
        <f t="shared" si="34"/>
        <v>12805.512000000001</v>
      </c>
      <c r="L20" s="18">
        <f t="shared" si="34"/>
        <v>14619.6</v>
      </c>
      <c r="M20" s="18">
        <f t="shared" si="34"/>
        <v>12783.504000000001</v>
      </c>
      <c r="N20" s="20" t="s">
        <v>49</v>
      </c>
      <c r="O20" s="18">
        <v>3.89</v>
      </c>
      <c r="P20" s="18">
        <f>3.89*12*P35</f>
        <v>20193.768</v>
      </c>
      <c r="Q20" s="18">
        <f t="shared" ref="Q20:Z20" si="35">3.89*12*Q35</f>
        <v>24399.636000000002</v>
      </c>
      <c r="R20" s="18">
        <f t="shared" si="35"/>
        <v>21444.791999999998</v>
      </c>
      <c r="S20" s="18">
        <f t="shared" si="35"/>
        <v>15698.484</v>
      </c>
      <c r="T20" s="18">
        <f t="shared" si="35"/>
        <v>18910.067999999999</v>
      </c>
      <c r="U20" s="18">
        <f t="shared" si="35"/>
        <v>19946.364000000001</v>
      </c>
      <c r="V20" s="18">
        <f t="shared" si="35"/>
        <v>19530.912</v>
      </c>
      <c r="W20" s="18">
        <f t="shared" si="35"/>
        <v>18924.072</v>
      </c>
      <c r="X20" s="18">
        <f t="shared" si="35"/>
        <v>19675.62</v>
      </c>
      <c r="Y20" s="18">
        <f t="shared" si="35"/>
        <v>19376.868000000002</v>
      </c>
      <c r="Z20" s="18">
        <f t="shared" si="35"/>
        <v>28806.227999999999</v>
      </c>
      <c r="AA20" s="18">
        <f t="shared" ref="AA20:AC20" si="36">3.89*12*AA35</f>
        <v>24096.216</v>
      </c>
      <c r="AB20" s="18">
        <f t="shared" si="36"/>
        <v>24497.663999999997</v>
      </c>
      <c r="AC20" s="18">
        <f t="shared" si="36"/>
        <v>23704.103999999999</v>
      </c>
      <c r="AD20" s="20" t="s">
        <v>49</v>
      </c>
      <c r="AE20" s="18">
        <v>3.89</v>
      </c>
      <c r="AF20" s="18">
        <f t="shared" ref="AF20:AG20" si="37">3.89*12*AF35</f>
        <v>23965.511999999999</v>
      </c>
      <c r="AG20" s="18">
        <f t="shared" si="37"/>
        <v>18989.423999999999</v>
      </c>
      <c r="AH20" s="18">
        <f t="shared" ref="AH20:AK20" si="38">3.89*12*AH35</f>
        <v>24329.616000000002</v>
      </c>
      <c r="AI20" s="18">
        <f t="shared" si="38"/>
        <v>34141.752</v>
      </c>
      <c r="AJ20" s="18">
        <f t="shared" si="38"/>
        <v>33478.896000000001</v>
      </c>
      <c r="AK20" s="18">
        <f t="shared" si="38"/>
        <v>33226.824000000001</v>
      </c>
      <c r="AL20" s="18">
        <f t="shared" ref="AL20:AS20" si="39">3.89*12*AL35</f>
        <v>19367.531999999999</v>
      </c>
      <c r="AM20" s="18">
        <f t="shared" si="39"/>
        <v>19610.268</v>
      </c>
      <c r="AN20" s="18">
        <f t="shared" si="39"/>
        <v>24894.444</v>
      </c>
      <c r="AO20" s="18">
        <f t="shared" si="39"/>
        <v>24815.088</v>
      </c>
      <c r="AP20" s="18">
        <f t="shared" si="39"/>
        <v>21715.536</v>
      </c>
      <c r="AQ20" s="18">
        <f t="shared" si="39"/>
        <v>32195.196000000004</v>
      </c>
      <c r="AR20" s="18">
        <f t="shared" si="39"/>
        <v>30253.308000000001</v>
      </c>
      <c r="AS20" s="18">
        <f t="shared" si="39"/>
        <v>15754.5</v>
      </c>
      <c r="AT20" s="18">
        <f t="shared" ref="AT20:AX20" si="40">3.89*12*AT35</f>
        <v>15376.391999999998</v>
      </c>
      <c r="AU20" s="18">
        <f t="shared" si="40"/>
        <v>32932.74</v>
      </c>
      <c r="AV20" s="18">
        <f t="shared" si="40"/>
        <v>24189.576000000001</v>
      </c>
      <c r="AW20" s="18">
        <f t="shared" si="40"/>
        <v>23965.511999999999</v>
      </c>
      <c r="AX20" s="18">
        <f t="shared" si="40"/>
        <v>19881.011999999999</v>
      </c>
    </row>
    <row r="21" spans="1:50" s="1" customFormat="1">
      <c r="A21" s="81" t="s">
        <v>36</v>
      </c>
      <c r="B21" s="81"/>
      <c r="C21" s="81"/>
      <c r="D21" s="81"/>
      <c r="E21" s="81"/>
      <c r="F21" s="81"/>
      <c r="G21" s="9" t="s">
        <v>4</v>
      </c>
      <c r="H21" s="18">
        <v>0</v>
      </c>
      <c r="I21" s="18">
        <f>0*12*I35</f>
        <v>0</v>
      </c>
      <c r="J21" s="18">
        <f t="shared" ref="J21:M21" si="41">0*12*J35</f>
        <v>0</v>
      </c>
      <c r="K21" s="18">
        <f t="shared" si="41"/>
        <v>0</v>
      </c>
      <c r="L21" s="18">
        <f t="shared" si="41"/>
        <v>0</v>
      </c>
      <c r="M21" s="18">
        <f t="shared" si="41"/>
        <v>0</v>
      </c>
      <c r="N21" s="18" t="s">
        <v>4</v>
      </c>
      <c r="O21" s="18">
        <v>4.7</v>
      </c>
      <c r="P21" s="18">
        <f>4.7*12*P35</f>
        <v>24398.640000000003</v>
      </c>
      <c r="Q21" s="18">
        <f t="shared" ref="Q21:Z21" si="42">4.7*12*Q35</f>
        <v>29480.280000000006</v>
      </c>
      <c r="R21" s="18">
        <f t="shared" si="42"/>
        <v>25910.16</v>
      </c>
      <c r="S21" s="18">
        <f t="shared" si="42"/>
        <v>18967.320000000003</v>
      </c>
      <c r="T21" s="18">
        <f t="shared" si="42"/>
        <v>22847.640000000003</v>
      </c>
      <c r="U21" s="18">
        <f t="shared" si="42"/>
        <v>24099.720000000005</v>
      </c>
      <c r="V21" s="18">
        <f t="shared" si="42"/>
        <v>23597.760000000002</v>
      </c>
      <c r="W21" s="18">
        <f t="shared" si="42"/>
        <v>22864.560000000001</v>
      </c>
      <c r="X21" s="18">
        <f t="shared" si="42"/>
        <v>23772.600000000002</v>
      </c>
      <c r="Y21" s="18">
        <f t="shared" si="42"/>
        <v>23411.640000000003</v>
      </c>
      <c r="Z21" s="18">
        <f t="shared" si="42"/>
        <v>34804.44</v>
      </c>
      <c r="AA21" s="18">
        <f t="shared" ref="AA21:AC21" si="43">4.7*12*AA35</f>
        <v>29113.680000000004</v>
      </c>
      <c r="AB21" s="18">
        <f t="shared" si="43"/>
        <v>29598.720000000001</v>
      </c>
      <c r="AC21" s="18">
        <f t="shared" si="43"/>
        <v>28639.920000000002</v>
      </c>
      <c r="AD21" s="18" t="s">
        <v>4</v>
      </c>
      <c r="AE21" s="18">
        <v>4.7</v>
      </c>
      <c r="AF21" s="18">
        <f t="shared" ref="AF21:AG21" si="44">4.7*12*AF35</f>
        <v>28955.760000000002</v>
      </c>
      <c r="AG21" s="18">
        <f t="shared" si="44"/>
        <v>22943.520000000004</v>
      </c>
      <c r="AH21" s="18">
        <f t="shared" ref="AH21:AK21" si="45">4.7*12*AH35</f>
        <v>29395.680000000004</v>
      </c>
      <c r="AI21" s="18">
        <f t="shared" si="45"/>
        <v>41250.960000000006</v>
      </c>
      <c r="AJ21" s="18">
        <f t="shared" si="45"/>
        <v>40450.080000000009</v>
      </c>
      <c r="AK21" s="18">
        <f t="shared" si="45"/>
        <v>40145.520000000004</v>
      </c>
      <c r="AL21" s="18">
        <f t="shared" ref="AL21:AS21" si="46">4.7*12*AL35</f>
        <v>23400.36</v>
      </c>
      <c r="AM21" s="18">
        <f t="shared" si="46"/>
        <v>23693.640000000003</v>
      </c>
      <c r="AN21" s="18">
        <f t="shared" si="46"/>
        <v>30078.12</v>
      </c>
      <c r="AO21" s="18">
        <f t="shared" si="46"/>
        <v>29982.240000000005</v>
      </c>
      <c r="AP21" s="18">
        <f t="shared" si="46"/>
        <v>26237.280000000002</v>
      </c>
      <c r="AQ21" s="18">
        <f t="shared" si="46"/>
        <v>38899.080000000009</v>
      </c>
      <c r="AR21" s="18">
        <f t="shared" si="46"/>
        <v>36552.840000000004</v>
      </c>
      <c r="AS21" s="18">
        <f t="shared" si="46"/>
        <v>19035.000000000004</v>
      </c>
      <c r="AT21" s="18">
        <f t="shared" ref="AT21:AX21" si="47">4.7*12*AT35</f>
        <v>18578.16</v>
      </c>
      <c r="AU21" s="18">
        <f t="shared" si="47"/>
        <v>39790.200000000004</v>
      </c>
      <c r="AV21" s="18">
        <f t="shared" si="47"/>
        <v>29226.480000000007</v>
      </c>
      <c r="AW21" s="18">
        <f t="shared" si="47"/>
        <v>28955.760000000002</v>
      </c>
      <c r="AX21" s="18">
        <f t="shared" si="47"/>
        <v>24020.760000000002</v>
      </c>
    </row>
    <row r="22" spans="1:50" s="1" customFormat="1" ht="13.5" customHeight="1">
      <c r="A22" s="85" t="s">
        <v>10</v>
      </c>
      <c r="B22" s="86"/>
      <c r="C22" s="86"/>
      <c r="D22" s="86"/>
      <c r="E22" s="86"/>
      <c r="F22" s="87"/>
      <c r="G22" s="10"/>
      <c r="H22" s="21">
        <f t="shared" ref="H22" si="48">SUM(H23:H27)</f>
        <v>1.94</v>
      </c>
      <c r="I22" s="21">
        <f t="shared" ref="I22:M22" si="49">SUM(I23:I27)</f>
        <v>17269.103999999999</v>
      </c>
      <c r="J22" s="21">
        <f t="shared" si="49"/>
        <v>10624.992</v>
      </c>
      <c r="K22" s="21">
        <f t="shared" si="49"/>
        <v>9481.9439999999995</v>
      </c>
      <c r="L22" s="21">
        <f t="shared" si="49"/>
        <v>10825.2</v>
      </c>
      <c r="M22" s="21">
        <f t="shared" si="49"/>
        <v>9465.648000000001</v>
      </c>
      <c r="N22" s="17"/>
      <c r="O22" s="21">
        <v>3.23</v>
      </c>
      <c r="P22" s="21">
        <f t="shared" ref="P22:Z22" si="50">SUM(P23:P27)</f>
        <v>16767.576000000001</v>
      </c>
      <c r="Q22" s="21">
        <f t="shared" si="50"/>
        <v>20259.851999999999</v>
      </c>
      <c r="R22" s="21">
        <f t="shared" si="50"/>
        <v>17806.343999999997</v>
      </c>
      <c r="S22" s="21">
        <f t="shared" si="50"/>
        <v>13034.988000000001</v>
      </c>
      <c r="T22" s="21">
        <f t="shared" si="50"/>
        <v>15701.675999999999</v>
      </c>
      <c r="U22" s="21">
        <f t="shared" si="50"/>
        <v>16562.148000000001</v>
      </c>
      <c r="V22" s="21">
        <f t="shared" si="50"/>
        <v>16217.183999999997</v>
      </c>
      <c r="W22" s="21">
        <f t="shared" si="50"/>
        <v>15713.303999999996</v>
      </c>
      <c r="X22" s="21">
        <f t="shared" si="50"/>
        <v>16337.339999999998</v>
      </c>
      <c r="Y22" s="21">
        <f t="shared" si="50"/>
        <v>16089.276</v>
      </c>
      <c r="Z22" s="21">
        <f t="shared" si="50"/>
        <v>23918.795999999998</v>
      </c>
      <c r="AA22" s="21">
        <f t="shared" ref="AA22:AC22" si="51">SUM(AA23:AA27)</f>
        <v>20007.912</v>
      </c>
      <c r="AB22" s="21">
        <f t="shared" si="51"/>
        <v>20341.247999999996</v>
      </c>
      <c r="AC22" s="21">
        <f t="shared" si="51"/>
        <v>19682.328000000001</v>
      </c>
      <c r="AD22" s="17"/>
      <c r="AE22" s="21">
        <v>1.9</v>
      </c>
      <c r="AF22" s="21">
        <f t="shared" ref="AF22:AG22" si="52">SUM(AF23:AF27)</f>
        <v>11705.52</v>
      </c>
      <c r="AG22" s="21">
        <f t="shared" si="52"/>
        <v>9275.0400000000009</v>
      </c>
      <c r="AH22" s="21">
        <f t="shared" ref="AH22:AK22" si="53">SUM(AH23:AH27)</f>
        <v>11883.36</v>
      </c>
      <c r="AI22" s="21">
        <f t="shared" si="53"/>
        <v>16675.919999999998</v>
      </c>
      <c r="AJ22" s="21">
        <f t="shared" si="53"/>
        <v>16352.16</v>
      </c>
      <c r="AK22" s="21">
        <f t="shared" si="53"/>
        <v>16229.039999999999</v>
      </c>
      <c r="AL22" s="21">
        <f t="shared" ref="AL22:AS22" si="54">SUM(AL23:AL27)</f>
        <v>9459.7200000000012</v>
      </c>
      <c r="AM22" s="21">
        <f t="shared" si="54"/>
        <v>9578.2800000000007</v>
      </c>
      <c r="AN22" s="21">
        <f t="shared" si="54"/>
        <v>12159.24</v>
      </c>
      <c r="AO22" s="21">
        <f t="shared" si="54"/>
        <v>12120.48</v>
      </c>
      <c r="AP22" s="21">
        <f t="shared" si="54"/>
        <v>10606.560000000001</v>
      </c>
      <c r="AQ22" s="21">
        <f t="shared" si="54"/>
        <v>15725.16</v>
      </c>
      <c r="AR22" s="21">
        <f t="shared" si="54"/>
        <v>14776.68</v>
      </c>
      <c r="AS22" s="21">
        <f t="shared" si="54"/>
        <v>7695</v>
      </c>
      <c r="AT22" s="21">
        <f t="shared" ref="AT22:AX22" si="55">SUM(AT23:AT27)</f>
        <v>7510.32</v>
      </c>
      <c r="AU22" s="21">
        <f t="shared" si="55"/>
        <v>16085.399999999998</v>
      </c>
      <c r="AV22" s="21">
        <f t="shared" si="55"/>
        <v>11814.960000000001</v>
      </c>
      <c r="AW22" s="21">
        <f t="shared" si="55"/>
        <v>11705.52</v>
      </c>
      <c r="AX22" s="21">
        <f t="shared" si="55"/>
        <v>9710.52</v>
      </c>
    </row>
    <row r="23" spans="1:50" s="1" customFormat="1">
      <c r="A23" s="80" t="s">
        <v>38</v>
      </c>
      <c r="B23" s="81"/>
      <c r="C23" s="81"/>
      <c r="D23" s="81"/>
      <c r="E23" s="81"/>
      <c r="F23" s="81"/>
      <c r="G23" s="9" t="s">
        <v>4</v>
      </c>
      <c r="H23" s="18">
        <v>1.02</v>
      </c>
      <c r="I23" s="18">
        <f>1.02*12*I35</f>
        <v>9079.6319999999996</v>
      </c>
      <c r="J23" s="18">
        <f t="shared" ref="J23:M23" si="56">1.02*12*J35</f>
        <v>5586.3360000000002</v>
      </c>
      <c r="K23" s="18">
        <f t="shared" si="56"/>
        <v>4985.3519999999999</v>
      </c>
      <c r="L23" s="18">
        <f t="shared" si="56"/>
        <v>5691.6</v>
      </c>
      <c r="M23" s="18">
        <f t="shared" si="56"/>
        <v>4976.7840000000006</v>
      </c>
      <c r="N23" s="18" t="s">
        <v>4</v>
      </c>
      <c r="O23" s="18">
        <v>1.02</v>
      </c>
      <c r="P23" s="18">
        <f t="shared" ref="P23:Z23" si="57">1.02*12*P35</f>
        <v>5295.0240000000003</v>
      </c>
      <c r="Q23" s="18">
        <f t="shared" si="57"/>
        <v>6397.8480000000009</v>
      </c>
      <c r="R23" s="18">
        <f t="shared" si="57"/>
        <v>5623.0559999999996</v>
      </c>
      <c r="S23" s="18">
        <f t="shared" si="57"/>
        <v>4116.3119999999999</v>
      </c>
      <c r="T23" s="18">
        <f t="shared" si="57"/>
        <v>4958.424</v>
      </c>
      <c r="U23" s="18">
        <f t="shared" si="57"/>
        <v>5230.152</v>
      </c>
      <c r="V23" s="18">
        <f t="shared" si="57"/>
        <v>5121.2159999999994</v>
      </c>
      <c r="W23" s="18">
        <f t="shared" si="57"/>
        <v>4962.0959999999995</v>
      </c>
      <c r="X23" s="18">
        <f t="shared" si="57"/>
        <v>5159.16</v>
      </c>
      <c r="Y23" s="18">
        <f t="shared" si="57"/>
        <v>5080.8240000000005</v>
      </c>
      <c r="Z23" s="18">
        <f t="shared" si="57"/>
        <v>7553.3040000000001</v>
      </c>
      <c r="AA23" s="18">
        <f t="shared" ref="AA23:AC23" si="58">1.02*12*AA35</f>
        <v>6318.2880000000005</v>
      </c>
      <c r="AB23" s="18">
        <f t="shared" si="58"/>
        <v>6423.5519999999997</v>
      </c>
      <c r="AC23" s="18">
        <f t="shared" si="58"/>
        <v>6215.4720000000007</v>
      </c>
      <c r="AD23" s="18" t="s">
        <v>4</v>
      </c>
      <c r="AE23" s="18">
        <v>1.02</v>
      </c>
      <c r="AF23" s="18">
        <f t="shared" ref="AF23:AG23" si="59">1.02*12*AF35</f>
        <v>6284.0159999999996</v>
      </c>
      <c r="AG23" s="18">
        <f t="shared" si="59"/>
        <v>4979.232</v>
      </c>
      <c r="AH23" s="18">
        <f t="shared" ref="AH23:AK23" si="60">1.02*12*AH35</f>
        <v>6379.4880000000003</v>
      </c>
      <c r="AI23" s="18">
        <f t="shared" si="60"/>
        <v>8952.3359999999993</v>
      </c>
      <c r="AJ23" s="18">
        <f t="shared" si="60"/>
        <v>8778.5280000000002</v>
      </c>
      <c r="AK23" s="18">
        <f t="shared" si="60"/>
        <v>8712.4319999999989</v>
      </c>
      <c r="AL23" s="18">
        <f t="shared" ref="AL23:AS23" si="61">1.02*12*AL35</f>
        <v>5078.3760000000002</v>
      </c>
      <c r="AM23" s="18">
        <f t="shared" si="61"/>
        <v>5142.0240000000003</v>
      </c>
      <c r="AN23" s="18">
        <f t="shared" si="61"/>
        <v>6527.5919999999996</v>
      </c>
      <c r="AO23" s="18">
        <f t="shared" si="61"/>
        <v>6506.7840000000006</v>
      </c>
      <c r="AP23" s="18">
        <f t="shared" si="61"/>
        <v>5694.0479999999998</v>
      </c>
      <c r="AQ23" s="18">
        <f t="shared" si="61"/>
        <v>8441.9279999999999</v>
      </c>
      <c r="AR23" s="18">
        <f t="shared" si="61"/>
        <v>7932.7440000000006</v>
      </c>
      <c r="AS23" s="18">
        <f t="shared" si="61"/>
        <v>4131</v>
      </c>
      <c r="AT23" s="18">
        <f t="shared" ref="AT23:AX23" si="62">1.02*12*AT35</f>
        <v>4031.8559999999998</v>
      </c>
      <c r="AU23" s="18">
        <f t="shared" si="62"/>
        <v>8635.32</v>
      </c>
      <c r="AV23" s="18">
        <f t="shared" si="62"/>
        <v>6342.7680000000009</v>
      </c>
      <c r="AW23" s="18">
        <f t="shared" si="62"/>
        <v>6284.0159999999996</v>
      </c>
      <c r="AX23" s="18">
        <f t="shared" si="62"/>
        <v>5213.0159999999996</v>
      </c>
    </row>
    <row r="24" spans="1:50" s="1" customFormat="1" ht="13.5" customHeight="1">
      <c r="A24" s="80" t="s">
        <v>28</v>
      </c>
      <c r="B24" s="81"/>
      <c r="C24" s="81"/>
      <c r="D24" s="81"/>
      <c r="E24" s="81"/>
      <c r="F24" s="81"/>
      <c r="G24" s="9" t="s">
        <v>3</v>
      </c>
      <c r="H24" s="18">
        <v>0</v>
      </c>
      <c r="I24" s="18">
        <f>0*1242*I35</f>
        <v>0</v>
      </c>
      <c r="J24" s="18">
        <f t="shared" ref="J24:M24" si="63">0*1242*J35</f>
        <v>0</v>
      </c>
      <c r="K24" s="18">
        <f t="shared" si="63"/>
        <v>0</v>
      </c>
      <c r="L24" s="18">
        <f t="shared" si="63"/>
        <v>0</v>
      </c>
      <c r="M24" s="18">
        <f t="shared" si="63"/>
        <v>0</v>
      </c>
      <c r="N24" s="18" t="s">
        <v>3</v>
      </c>
      <c r="O24" s="18">
        <v>0</v>
      </c>
      <c r="P24" s="18">
        <f>0*12*P35</f>
        <v>0</v>
      </c>
      <c r="Q24" s="18">
        <f t="shared" ref="Q24:Z24" si="64">0*12*Q35</f>
        <v>0</v>
      </c>
      <c r="R24" s="18">
        <f t="shared" si="64"/>
        <v>0</v>
      </c>
      <c r="S24" s="18">
        <f t="shared" si="64"/>
        <v>0</v>
      </c>
      <c r="T24" s="18">
        <f t="shared" si="64"/>
        <v>0</v>
      </c>
      <c r="U24" s="18">
        <f t="shared" si="64"/>
        <v>0</v>
      </c>
      <c r="V24" s="18">
        <f t="shared" si="64"/>
        <v>0</v>
      </c>
      <c r="W24" s="18">
        <f t="shared" si="64"/>
        <v>0</v>
      </c>
      <c r="X24" s="18">
        <f t="shared" si="64"/>
        <v>0</v>
      </c>
      <c r="Y24" s="18">
        <f t="shared" si="64"/>
        <v>0</v>
      </c>
      <c r="Z24" s="18">
        <f t="shared" si="64"/>
        <v>0</v>
      </c>
      <c r="AA24" s="18">
        <f t="shared" ref="AA24:AC24" si="65">0*12*AA35</f>
        <v>0</v>
      </c>
      <c r="AB24" s="18">
        <f t="shared" si="65"/>
        <v>0</v>
      </c>
      <c r="AC24" s="18">
        <f t="shared" si="65"/>
        <v>0</v>
      </c>
      <c r="AD24" s="18" t="s">
        <v>3</v>
      </c>
      <c r="AE24" s="18">
        <v>0</v>
      </c>
      <c r="AF24" s="18">
        <f t="shared" ref="AF24:AG24" si="66">0*12*AF35</f>
        <v>0</v>
      </c>
      <c r="AG24" s="18">
        <f t="shared" si="66"/>
        <v>0</v>
      </c>
      <c r="AH24" s="18">
        <f t="shared" ref="AH24:AK24" si="67">0*12*AH35</f>
        <v>0</v>
      </c>
      <c r="AI24" s="18">
        <f t="shared" si="67"/>
        <v>0</v>
      </c>
      <c r="AJ24" s="18">
        <f t="shared" si="67"/>
        <v>0</v>
      </c>
      <c r="AK24" s="18">
        <f t="shared" si="67"/>
        <v>0</v>
      </c>
      <c r="AL24" s="18">
        <f t="shared" ref="AL24:AS24" si="68">0*12*AL35</f>
        <v>0</v>
      </c>
      <c r="AM24" s="18">
        <f t="shared" si="68"/>
        <v>0</v>
      </c>
      <c r="AN24" s="18">
        <f t="shared" si="68"/>
        <v>0</v>
      </c>
      <c r="AO24" s="18">
        <f t="shared" si="68"/>
        <v>0</v>
      </c>
      <c r="AP24" s="18">
        <f t="shared" si="68"/>
        <v>0</v>
      </c>
      <c r="AQ24" s="18">
        <f t="shared" si="68"/>
        <v>0</v>
      </c>
      <c r="AR24" s="18">
        <f t="shared" si="68"/>
        <v>0</v>
      </c>
      <c r="AS24" s="18">
        <f t="shared" si="68"/>
        <v>0</v>
      </c>
      <c r="AT24" s="18">
        <f t="shared" ref="AT24:AX24" si="69">0*12*AT35</f>
        <v>0</v>
      </c>
      <c r="AU24" s="18">
        <f t="shared" si="69"/>
        <v>0</v>
      </c>
      <c r="AV24" s="18">
        <f t="shared" si="69"/>
        <v>0</v>
      </c>
      <c r="AW24" s="18">
        <f t="shared" si="69"/>
        <v>0</v>
      </c>
      <c r="AX24" s="18">
        <f t="shared" si="69"/>
        <v>0</v>
      </c>
    </row>
    <row r="25" spans="1:50" s="1" customFormat="1" ht="25.5" customHeight="1">
      <c r="A25" s="80" t="s">
        <v>29</v>
      </c>
      <c r="B25" s="80"/>
      <c r="C25" s="80"/>
      <c r="D25" s="80"/>
      <c r="E25" s="80"/>
      <c r="F25" s="80"/>
      <c r="G25" s="9" t="s">
        <v>8</v>
      </c>
      <c r="H25" s="18">
        <v>0</v>
      </c>
      <c r="I25" s="18">
        <f>0*12*I35</f>
        <v>0</v>
      </c>
      <c r="J25" s="18">
        <f t="shared" ref="J25:M25" si="70">0*12*J35</f>
        <v>0</v>
      </c>
      <c r="K25" s="18">
        <f t="shared" si="70"/>
        <v>0</v>
      </c>
      <c r="L25" s="18">
        <f t="shared" si="70"/>
        <v>0</v>
      </c>
      <c r="M25" s="18">
        <f t="shared" si="70"/>
        <v>0</v>
      </c>
      <c r="N25" s="18" t="s">
        <v>8</v>
      </c>
      <c r="O25" s="18">
        <v>0</v>
      </c>
      <c r="P25" s="18">
        <f t="shared" ref="P25:Z25" si="71">0*12*P35</f>
        <v>0</v>
      </c>
      <c r="Q25" s="18">
        <f t="shared" si="71"/>
        <v>0</v>
      </c>
      <c r="R25" s="18">
        <f t="shared" si="71"/>
        <v>0</v>
      </c>
      <c r="S25" s="18">
        <f t="shared" si="71"/>
        <v>0</v>
      </c>
      <c r="T25" s="18">
        <f t="shared" si="71"/>
        <v>0</v>
      </c>
      <c r="U25" s="18">
        <f t="shared" si="71"/>
        <v>0</v>
      </c>
      <c r="V25" s="18">
        <f t="shared" si="71"/>
        <v>0</v>
      </c>
      <c r="W25" s="18">
        <f t="shared" si="71"/>
        <v>0</v>
      </c>
      <c r="X25" s="18">
        <f t="shared" si="71"/>
        <v>0</v>
      </c>
      <c r="Y25" s="18">
        <f t="shared" si="71"/>
        <v>0</v>
      </c>
      <c r="Z25" s="18">
        <f t="shared" si="71"/>
        <v>0</v>
      </c>
      <c r="AA25" s="18">
        <f t="shared" ref="AA25:AC25" si="72">0*12*AA35</f>
        <v>0</v>
      </c>
      <c r="AB25" s="18">
        <f t="shared" si="72"/>
        <v>0</v>
      </c>
      <c r="AC25" s="18">
        <f t="shared" si="72"/>
        <v>0</v>
      </c>
      <c r="AD25" s="18" t="s">
        <v>8</v>
      </c>
      <c r="AE25" s="18">
        <v>0</v>
      </c>
      <c r="AF25" s="18">
        <f t="shared" ref="AF25:AG25" si="73">0*12*AF35</f>
        <v>0</v>
      </c>
      <c r="AG25" s="18">
        <f t="shared" si="73"/>
        <v>0</v>
      </c>
      <c r="AH25" s="18">
        <f t="shared" ref="AH25:AK25" si="74">0*12*AH35</f>
        <v>0</v>
      </c>
      <c r="AI25" s="18">
        <f t="shared" si="74"/>
        <v>0</v>
      </c>
      <c r="AJ25" s="18">
        <f t="shared" si="74"/>
        <v>0</v>
      </c>
      <c r="AK25" s="18">
        <f t="shared" si="74"/>
        <v>0</v>
      </c>
      <c r="AL25" s="18">
        <f t="shared" ref="AL25:AS25" si="75">0*12*AL35</f>
        <v>0</v>
      </c>
      <c r="AM25" s="18">
        <f t="shared" si="75"/>
        <v>0</v>
      </c>
      <c r="AN25" s="18">
        <f t="shared" si="75"/>
        <v>0</v>
      </c>
      <c r="AO25" s="18">
        <f t="shared" si="75"/>
        <v>0</v>
      </c>
      <c r="AP25" s="18">
        <f t="shared" si="75"/>
        <v>0</v>
      </c>
      <c r="AQ25" s="18">
        <f t="shared" si="75"/>
        <v>0</v>
      </c>
      <c r="AR25" s="18">
        <f t="shared" si="75"/>
        <v>0</v>
      </c>
      <c r="AS25" s="18">
        <f t="shared" si="75"/>
        <v>0</v>
      </c>
      <c r="AT25" s="18">
        <f t="shared" ref="AT25:AX25" si="76">0*12*AT35</f>
        <v>0</v>
      </c>
      <c r="AU25" s="18">
        <f t="shared" si="76"/>
        <v>0</v>
      </c>
      <c r="AV25" s="18">
        <f t="shared" si="76"/>
        <v>0</v>
      </c>
      <c r="AW25" s="18">
        <f t="shared" si="76"/>
        <v>0</v>
      </c>
      <c r="AX25" s="18">
        <f t="shared" si="76"/>
        <v>0</v>
      </c>
    </row>
    <row r="26" spans="1:50" s="1" customFormat="1" ht="39" customHeight="1">
      <c r="A26" s="80" t="s">
        <v>30</v>
      </c>
      <c r="B26" s="80"/>
      <c r="C26" s="80"/>
      <c r="D26" s="80"/>
      <c r="E26" s="80"/>
      <c r="F26" s="80"/>
      <c r="G26" s="11" t="s">
        <v>9</v>
      </c>
      <c r="H26" s="18">
        <f>0.03+0.01</f>
        <v>0.04</v>
      </c>
      <c r="I26" s="18">
        <f>0.04*12*I35</f>
        <v>356.06399999999996</v>
      </c>
      <c r="J26" s="18">
        <f t="shared" ref="J26:M26" si="77">0.04*12*J35</f>
        <v>219.07199999999997</v>
      </c>
      <c r="K26" s="18">
        <f t="shared" si="77"/>
        <v>195.50399999999999</v>
      </c>
      <c r="L26" s="18">
        <f t="shared" si="77"/>
        <v>223.2</v>
      </c>
      <c r="M26" s="18">
        <f t="shared" si="77"/>
        <v>195.16800000000001</v>
      </c>
      <c r="N26" s="19" t="s">
        <v>9</v>
      </c>
      <c r="O26" s="18">
        <v>0.04</v>
      </c>
      <c r="P26" s="18">
        <f t="shared" ref="P26:Z26" si="78">0.04*12*P35</f>
        <v>207.648</v>
      </c>
      <c r="Q26" s="18">
        <f t="shared" si="78"/>
        <v>250.89600000000002</v>
      </c>
      <c r="R26" s="18">
        <f t="shared" si="78"/>
        <v>220.51199999999997</v>
      </c>
      <c r="S26" s="18">
        <f t="shared" si="78"/>
        <v>161.42400000000001</v>
      </c>
      <c r="T26" s="18">
        <f t="shared" si="78"/>
        <v>194.44800000000001</v>
      </c>
      <c r="U26" s="18">
        <f t="shared" si="78"/>
        <v>205.10399999999998</v>
      </c>
      <c r="V26" s="18">
        <f t="shared" si="78"/>
        <v>200.83199999999999</v>
      </c>
      <c r="W26" s="18">
        <f t="shared" si="78"/>
        <v>194.59199999999998</v>
      </c>
      <c r="X26" s="18">
        <f t="shared" si="78"/>
        <v>202.32</v>
      </c>
      <c r="Y26" s="18">
        <f t="shared" si="78"/>
        <v>199.24799999999999</v>
      </c>
      <c r="Z26" s="18">
        <f t="shared" si="78"/>
        <v>296.20800000000003</v>
      </c>
      <c r="AA26" s="18">
        <f t="shared" ref="AA26:AC26" si="79">0.04*12*AA35</f>
        <v>247.77600000000001</v>
      </c>
      <c r="AB26" s="18">
        <f t="shared" si="79"/>
        <v>251.90399999999997</v>
      </c>
      <c r="AC26" s="18">
        <f t="shared" si="79"/>
        <v>243.744</v>
      </c>
      <c r="AD26" s="19" t="s">
        <v>9</v>
      </c>
      <c r="AE26" s="18">
        <v>0.04</v>
      </c>
      <c r="AF26" s="18">
        <f t="shared" ref="AF26:AG26" si="80">0.04*12*AF35</f>
        <v>246.43199999999999</v>
      </c>
      <c r="AG26" s="18">
        <f t="shared" si="80"/>
        <v>195.26400000000001</v>
      </c>
      <c r="AH26" s="18">
        <f t="shared" ref="AH26:AK26" si="81">0.04*12*AH35</f>
        <v>250.17600000000002</v>
      </c>
      <c r="AI26" s="18">
        <f t="shared" si="81"/>
        <v>351.072</v>
      </c>
      <c r="AJ26" s="18">
        <f t="shared" si="81"/>
        <v>344.25600000000003</v>
      </c>
      <c r="AK26" s="18">
        <f t="shared" si="81"/>
        <v>341.66399999999999</v>
      </c>
      <c r="AL26" s="18">
        <f t="shared" ref="AL26:AS26" si="82">0.04*12*AL35</f>
        <v>199.15199999999999</v>
      </c>
      <c r="AM26" s="18">
        <f t="shared" si="82"/>
        <v>201.648</v>
      </c>
      <c r="AN26" s="18">
        <f t="shared" si="82"/>
        <v>255.98399999999998</v>
      </c>
      <c r="AO26" s="18">
        <f t="shared" si="82"/>
        <v>255.16800000000001</v>
      </c>
      <c r="AP26" s="18">
        <f t="shared" si="82"/>
        <v>223.29599999999999</v>
      </c>
      <c r="AQ26" s="18">
        <f t="shared" si="82"/>
        <v>331.05599999999998</v>
      </c>
      <c r="AR26" s="18">
        <f t="shared" si="82"/>
        <v>311.08800000000002</v>
      </c>
      <c r="AS26" s="18">
        <f t="shared" si="82"/>
        <v>162</v>
      </c>
      <c r="AT26" s="18">
        <f t="shared" ref="AT26:AX26" si="83">0.04*12*AT35</f>
        <v>158.11199999999999</v>
      </c>
      <c r="AU26" s="18">
        <f t="shared" si="83"/>
        <v>338.64</v>
      </c>
      <c r="AV26" s="18">
        <f t="shared" si="83"/>
        <v>248.73600000000002</v>
      </c>
      <c r="AW26" s="18">
        <f t="shared" si="83"/>
        <v>246.43199999999999</v>
      </c>
      <c r="AX26" s="18">
        <f t="shared" si="83"/>
        <v>204.43199999999999</v>
      </c>
    </row>
    <row r="27" spans="1:50" s="1" customFormat="1" ht="85.5" customHeight="1">
      <c r="A27" s="80" t="s">
        <v>48</v>
      </c>
      <c r="B27" s="80"/>
      <c r="C27" s="80"/>
      <c r="D27" s="80"/>
      <c r="E27" s="80"/>
      <c r="F27" s="80"/>
      <c r="G27" s="9" t="s">
        <v>8</v>
      </c>
      <c r="H27" s="18">
        <f>0.32+0.18+0.38</f>
        <v>0.88</v>
      </c>
      <c r="I27" s="18">
        <f>0.88*12*I35</f>
        <v>7833.4079999999994</v>
      </c>
      <c r="J27" s="18">
        <f t="shared" ref="J27:M27" si="84">0.88*12*J35</f>
        <v>4819.5839999999998</v>
      </c>
      <c r="K27" s="18">
        <f t="shared" si="84"/>
        <v>4301.0880000000006</v>
      </c>
      <c r="L27" s="18">
        <f t="shared" si="84"/>
        <v>4910.4000000000005</v>
      </c>
      <c r="M27" s="18">
        <f t="shared" si="84"/>
        <v>4293.6960000000008</v>
      </c>
      <c r="N27" s="18" t="s">
        <v>8</v>
      </c>
      <c r="O27" s="18">
        <v>2.17</v>
      </c>
      <c r="P27" s="18">
        <f>2.17*12*P35</f>
        <v>11264.904</v>
      </c>
      <c r="Q27" s="18">
        <f t="shared" ref="Q27:Z27" si="85">2.17*12*Q35</f>
        <v>13611.108</v>
      </c>
      <c r="R27" s="18">
        <f t="shared" si="85"/>
        <v>11962.776</v>
      </c>
      <c r="S27" s="18">
        <f t="shared" si="85"/>
        <v>8757.2520000000004</v>
      </c>
      <c r="T27" s="18">
        <f t="shared" si="85"/>
        <v>10548.804</v>
      </c>
      <c r="U27" s="18">
        <f t="shared" si="85"/>
        <v>11126.892</v>
      </c>
      <c r="V27" s="18">
        <f t="shared" si="85"/>
        <v>10895.135999999999</v>
      </c>
      <c r="W27" s="18">
        <f t="shared" si="85"/>
        <v>10556.615999999998</v>
      </c>
      <c r="X27" s="18">
        <f t="shared" si="85"/>
        <v>10975.859999999999</v>
      </c>
      <c r="Y27" s="18">
        <f t="shared" si="85"/>
        <v>10809.204</v>
      </c>
      <c r="Z27" s="18">
        <f t="shared" si="85"/>
        <v>16069.284</v>
      </c>
      <c r="AA27" s="18">
        <f t="shared" ref="AA27:AC27" si="86">2.17*12*AA35</f>
        <v>13441.848</v>
      </c>
      <c r="AB27" s="18">
        <f t="shared" si="86"/>
        <v>13665.791999999998</v>
      </c>
      <c r="AC27" s="18">
        <f t="shared" si="86"/>
        <v>13223.111999999999</v>
      </c>
      <c r="AD27" s="18" t="s">
        <v>8</v>
      </c>
      <c r="AE27" s="18">
        <v>0.84</v>
      </c>
      <c r="AF27" s="18">
        <f t="shared" ref="AF27:AX27" si="87">0.84*12*AF35</f>
        <v>5175.0720000000001</v>
      </c>
      <c r="AG27" s="18">
        <f t="shared" si="87"/>
        <v>4100.5439999999999</v>
      </c>
      <c r="AH27" s="18">
        <f t="shared" si="87"/>
        <v>5253.6960000000008</v>
      </c>
      <c r="AI27" s="18">
        <f t="shared" si="87"/>
        <v>7372.5119999999997</v>
      </c>
      <c r="AJ27" s="18">
        <f t="shared" si="87"/>
        <v>7229.3760000000002</v>
      </c>
      <c r="AK27" s="18">
        <f t="shared" si="87"/>
        <v>7174.9439999999995</v>
      </c>
      <c r="AL27" s="18">
        <f t="shared" si="87"/>
        <v>4182.192</v>
      </c>
      <c r="AM27" s="18">
        <f t="shared" si="87"/>
        <v>4234.6080000000002</v>
      </c>
      <c r="AN27" s="18">
        <f t="shared" si="87"/>
        <v>5375.6639999999998</v>
      </c>
      <c r="AO27" s="18">
        <f t="shared" si="87"/>
        <v>5358.5280000000002</v>
      </c>
      <c r="AP27" s="18">
        <f t="shared" si="87"/>
        <v>4689.2160000000003</v>
      </c>
      <c r="AQ27" s="18">
        <f t="shared" si="87"/>
        <v>6952.1760000000004</v>
      </c>
      <c r="AR27" s="18">
        <f t="shared" si="87"/>
        <v>6532.848</v>
      </c>
      <c r="AS27" s="18">
        <f t="shared" si="87"/>
        <v>3402</v>
      </c>
      <c r="AT27" s="18">
        <f t="shared" si="87"/>
        <v>3320.3519999999999</v>
      </c>
      <c r="AU27" s="18">
        <f t="shared" si="87"/>
        <v>7111.44</v>
      </c>
      <c r="AV27" s="18">
        <f t="shared" si="87"/>
        <v>5223.4560000000001</v>
      </c>
      <c r="AW27" s="18">
        <f t="shared" si="87"/>
        <v>5175.0720000000001</v>
      </c>
      <c r="AX27" s="18">
        <f t="shared" si="87"/>
        <v>4293.0720000000001</v>
      </c>
    </row>
    <row r="28" spans="1:50" s="1" customFormat="1">
      <c r="A28" s="77" t="s">
        <v>7</v>
      </c>
      <c r="B28" s="78"/>
      <c r="C28" s="78"/>
      <c r="D28" s="78"/>
      <c r="E28" s="78"/>
      <c r="F28" s="79"/>
      <c r="G28" s="10"/>
      <c r="H28" s="21">
        <f t="shared" ref="H28" si="88">SUM(H29:H33)</f>
        <v>11.659999999999997</v>
      </c>
      <c r="I28" s="21">
        <f t="shared" ref="I28:M28" si="89">SUM(I29:I33)</f>
        <v>103792.65599999999</v>
      </c>
      <c r="J28" s="21">
        <f t="shared" si="89"/>
        <v>63859.487999999983</v>
      </c>
      <c r="K28" s="21">
        <f t="shared" si="89"/>
        <v>56989.415999999997</v>
      </c>
      <c r="L28" s="21">
        <f t="shared" si="89"/>
        <v>65062.799999999996</v>
      </c>
      <c r="M28" s="21">
        <f t="shared" si="89"/>
        <v>56891.471999999994</v>
      </c>
      <c r="N28" s="17"/>
      <c r="O28" s="21">
        <v>7.3299999999999992</v>
      </c>
      <c r="P28" s="21">
        <f t="shared" ref="P28:Z28" si="90">SUM(P29:P33)</f>
        <v>38051.496000000006</v>
      </c>
      <c r="Q28" s="21">
        <f t="shared" si="90"/>
        <v>45976.692000000003</v>
      </c>
      <c r="R28" s="21">
        <f t="shared" si="90"/>
        <v>40408.823999999993</v>
      </c>
      <c r="S28" s="21">
        <f t="shared" si="90"/>
        <v>29580.948000000004</v>
      </c>
      <c r="T28" s="21">
        <f t="shared" si="90"/>
        <v>35632.596000000005</v>
      </c>
      <c r="U28" s="21">
        <f t="shared" si="90"/>
        <v>37585.308000000005</v>
      </c>
      <c r="V28" s="21">
        <f t="shared" si="90"/>
        <v>36802.464000000007</v>
      </c>
      <c r="W28" s="21">
        <f t="shared" si="90"/>
        <v>35658.984000000004</v>
      </c>
      <c r="X28" s="21">
        <f t="shared" si="90"/>
        <v>37075.14</v>
      </c>
      <c r="Y28" s="21">
        <f t="shared" si="90"/>
        <v>36512.195999999996</v>
      </c>
      <c r="Z28" s="21">
        <f t="shared" si="90"/>
        <v>54280.116000000002</v>
      </c>
      <c r="AA28" s="21">
        <f t="shared" ref="AA28:AC28" si="91">SUM(AA29:AA33)</f>
        <v>45404.952000000005</v>
      </c>
      <c r="AB28" s="21">
        <f t="shared" si="91"/>
        <v>46161.407999999996</v>
      </c>
      <c r="AC28" s="21">
        <f t="shared" si="91"/>
        <v>44666.088000000003</v>
      </c>
      <c r="AD28" s="17"/>
      <c r="AE28" s="21">
        <v>9.370000000000001</v>
      </c>
      <c r="AF28" s="21">
        <f t="shared" ref="AF28:AG28" si="92">SUM(AF29:AF33)</f>
        <v>57726.695999999996</v>
      </c>
      <c r="AG28" s="21">
        <f t="shared" si="92"/>
        <v>45740.591999999997</v>
      </c>
      <c r="AH28" s="21">
        <f t="shared" ref="AH28:AK28" si="93">SUM(AH29:AH33)</f>
        <v>58603.727999999996</v>
      </c>
      <c r="AI28" s="21">
        <f t="shared" si="93"/>
        <v>82238.615999999995</v>
      </c>
      <c r="AJ28" s="21">
        <f t="shared" si="93"/>
        <v>80641.968000000008</v>
      </c>
      <c r="AK28" s="21">
        <f t="shared" si="93"/>
        <v>80034.791999999987</v>
      </c>
      <c r="AL28" s="21">
        <f t="shared" ref="AL28:AS28" si="94">SUM(AL29:AL33)</f>
        <v>46651.356</v>
      </c>
      <c r="AM28" s="21">
        <f t="shared" si="94"/>
        <v>47236.044000000009</v>
      </c>
      <c r="AN28" s="21">
        <f t="shared" si="94"/>
        <v>59964.251999999986</v>
      </c>
      <c r="AO28" s="21">
        <f t="shared" si="94"/>
        <v>59773.104000000007</v>
      </c>
      <c r="AP28" s="21">
        <f t="shared" si="94"/>
        <v>52307.087999999989</v>
      </c>
      <c r="AQ28" s="21">
        <f t="shared" si="94"/>
        <v>77549.868000000002</v>
      </c>
      <c r="AR28" s="21">
        <f t="shared" si="94"/>
        <v>72872.364000000001</v>
      </c>
      <c r="AS28" s="21">
        <f t="shared" si="94"/>
        <v>37948.5</v>
      </c>
      <c r="AT28" s="21">
        <f t="shared" ref="AT28:AX28" si="95">SUM(AT29:AT33)</f>
        <v>37037.735999999997</v>
      </c>
      <c r="AU28" s="21">
        <f t="shared" si="95"/>
        <v>79326.419999999984</v>
      </c>
      <c r="AV28" s="21">
        <f t="shared" si="95"/>
        <v>58266.40800000001</v>
      </c>
      <c r="AW28" s="21">
        <f t="shared" si="95"/>
        <v>57726.695999999996</v>
      </c>
      <c r="AX28" s="21">
        <f t="shared" si="95"/>
        <v>47888.195999999996</v>
      </c>
    </row>
    <row r="29" spans="1:50" s="1" customFormat="1" ht="193.5" customHeight="1">
      <c r="A29" s="80" t="s">
        <v>39</v>
      </c>
      <c r="B29" s="80"/>
      <c r="C29" s="80"/>
      <c r="D29" s="80"/>
      <c r="E29" s="80"/>
      <c r="F29" s="80"/>
      <c r="G29" s="11" t="s">
        <v>44</v>
      </c>
      <c r="H29" s="18">
        <f>0.49+0.35+2.46+2.46+0.81+0.1+0.13+0.14+0.1+0.03+0.02+0.04+0.01</f>
        <v>7.1399999999999988</v>
      </c>
      <c r="I29" s="18">
        <f>7.14*12*I35</f>
        <v>63557.423999999992</v>
      </c>
      <c r="J29" s="18">
        <f t="shared" ref="J29:M29" si="96">7.14*12*J35</f>
        <v>39104.351999999992</v>
      </c>
      <c r="K29" s="18">
        <f t="shared" si="96"/>
        <v>34897.464</v>
      </c>
      <c r="L29" s="18">
        <f t="shared" si="96"/>
        <v>39841.199999999997</v>
      </c>
      <c r="M29" s="18">
        <f t="shared" si="96"/>
        <v>34837.487999999998</v>
      </c>
      <c r="N29" s="19" t="s">
        <v>44</v>
      </c>
      <c r="O29" s="18">
        <v>1.57</v>
      </c>
      <c r="P29" s="18">
        <f>1.57*12*P35</f>
        <v>8150.1840000000002</v>
      </c>
      <c r="Q29" s="18">
        <f t="shared" ref="Q29:Z29" si="97">1.57*12*Q35</f>
        <v>9847.6680000000015</v>
      </c>
      <c r="R29" s="18">
        <f t="shared" si="97"/>
        <v>8655.0959999999995</v>
      </c>
      <c r="S29" s="18">
        <f t="shared" si="97"/>
        <v>6335.8919999999998</v>
      </c>
      <c r="T29" s="18">
        <f t="shared" si="97"/>
        <v>7632.0840000000007</v>
      </c>
      <c r="U29" s="18">
        <f t="shared" si="97"/>
        <v>8050.3320000000003</v>
      </c>
      <c r="V29" s="18">
        <f t="shared" si="97"/>
        <v>7882.6559999999999</v>
      </c>
      <c r="W29" s="18">
        <f t="shared" si="97"/>
        <v>7637.7359999999999</v>
      </c>
      <c r="X29" s="18">
        <f t="shared" si="97"/>
        <v>7941.0599999999995</v>
      </c>
      <c r="Y29" s="18">
        <f t="shared" si="97"/>
        <v>7820.4840000000004</v>
      </c>
      <c r="Z29" s="18">
        <f t="shared" si="97"/>
        <v>11626.164000000001</v>
      </c>
      <c r="AA29" s="18">
        <f t="shared" ref="AA29:AC29" si="98">1.57*12*AA35</f>
        <v>9725.2080000000005</v>
      </c>
      <c r="AB29" s="18">
        <f t="shared" si="98"/>
        <v>9887.232</v>
      </c>
      <c r="AC29" s="18">
        <f t="shared" si="98"/>
        <v>9566.9519999999993</v>
      </c>
      <c r="AD29" s="19" t="s">
        <v>44</v>
      </c>
      <c r="AE29" s="18">
        <v>5.91</v>
      </c>
      <c r="AF29" s="18">
        <f t="shared" ref="AF29:AX29" si="99">5.91*12*AF35</f>
        <v>36410.328000000001</v>
      </c>
      <c r="AG29" s="18">
        <f t="shared" si="99"/>
        <v>28850.256000000001</v>
      </c>
      <c r="AH29" s="18">
        <f t="shared" si="99"/>
        <v>36963.504000000001</v>
      </c>
      <c r="AI29" s="18">
        <f t="shared" si="99"/>
        <v>51870.887999999999</v>
      </c>
      <c r="AJ29" s="18">
        <f t="shared" si="99"/>
        <v>50863.824000000008</v>
      </c>
      <c r="AK29" s="18">
        <f t="shared" si="99"/>
        <v>50480.856</v>
      </c>
      <c r="AL29" s="18">
        <f t="shared" si="99"/>
        <v>29424.707999999999</v>
      </c>
      <c r="AM29" s="18">
        <f t="shared" si="99"/>
        <v>29793.492000000002</v>
      </c>
      <c r="AN29" s="18">
        <f t="shared" si="99"/>
        <v>37821.635999999999</v>
      </c>
      <c r="AO29" s="18">
        <f t="shared" si="99"/>
        <v>37701.072</v>
      </c>
      <c r="AP29" s="18">
        <f t="shared" si="99"/>
        <v>32991.983999999997</v>
      </c>
      <c r="AQ29" s="18">
        <f t="shared" si="99"/>
        <v>48913.524000000005</v>
      </c>
      <c r="AR29" s="18">
        <f t="shared" si="99"/>
        <v>45963.252</v>
      </c>
      <c r="AS29" s="18">
        <f t="shared" si="99"/>
        <v>23935.5</v>
      </c>
      <c r="AT29" s="18">
        <f t="shared" si="99"/>
        <v>23361.047999999999</v>
      </c>
      <c r="AU29" s="18">
        <f t="shared" si="99"/>
        <v>50034.06</v>
      </c>
      <c r="AV29" s="18">
        <f t="shared" si="99"/>
        <v>36750.744000000006</v>
      </c>
      <c r="AW29" s="18">
        <f t="shared" si="99"/>
        <v>36410.328000000001</v>
      </c>
      <c r="AX29" s="18">
        <f t="shared" si="99"/>
        <v>30204.827999999998</v>
      </c>
    </row>
    <row r="30" spans="1:50" s="1" customFormat="1" ht="87" customHeight="1">
      <c r="A30" s="81" t="s">
        <v>6</v>
      </c>
      <c r="B30" s="81"/>
      <c r="C30" s="81"/>
      <c r="D30" s="81"/>
      <c r="E30" s="81"/>
      <c r="F30" s="81"/>
      <c r="G30" s="11" t="s">
        <v>5</v>
      </c>
      <c r="H30" s="18">
        <v>1.4</v>
      </c>
      <c r="I30" s="18">
        <f>1.4*12*I35</f>
        <v>12462.239999999998</v>
      </c>
      <c r="J30" s="18">
        <f t="shared" ref="J30:M30" si="100">1.4*12*J35</f>
        <v>7667.5199999999986</v>
      </c>
      <c r="K30" s="18">
        <f t="shared" si="100"/>
        <v>6842.6399999999994</v>
      </c>
      <c r="L30" s="18">
        <f t="shared" si="100"/>
        <v>7811.9999999999991</v>
      </c>
      <c r="M30" s="18">
        <f t="shared" si="100"/>
        <v>6830.8799999999992</v>
      </c>
      <c r="N30" s="19" t="s">
        <v>5</v>
      </c>
      <c r="O30" s="18">
        <v>1.85</v>
      </c>
      <c r="P30" s="18">
        <f>1.85*12*P35</f>
        <v>9603.7200000000012</v>
      </c>
      <c r="Q30" s="18">
        <f t="shared" ref="Q30:Z30" si="101">1.85*12*Q35</f>
        <v>11603.940000000002</v>
      </c>
      <c r="R30" s="18">
        <f t="shared" si="101"/>
        <v>10198.68</v>
      </c>
      <c r="S30" s="18">
        <f t="shared" si="101"/>
        <v>7465.8600000000015</v>
      </c>
      <c r="T30" s="18">
        <f t="shared" si="101"/>
        <v>8993.2200000000012</v>
      </c>
      <c r="U30" s="18">
        <f t="shared" si="101"/>
        <v>9486.0600000000013</v>
      </c>
      <c r="V30" s="18">
        <f t="shared" si="101"/>
        <v>9288.4800000000014</v>
      </c>
      <c r="W30" s="18">
        <f t="shared" si="101"/>
        <v>8999.880000000001</v>
      </c>
      <c r="X30" s="18">
        <f t="shared" si="101"/>
        <v>9357.3000000000011</v>
      </c>
      <c r="Y30" s="18">
        <f t="shared" si="101"/>
        <v>9215.2200000000012</v>
      </c>
      <c r="Z30" s="18">
        <f t="shared" si="101"/>
        <v>13699.620000000003</v>
      </c>
      <c r="AA30" s="18">
        <f t="shared" ref="AA30:AC30" si="102">1.85*12*AA35</f>
        <v>11459.640000000003</v>
      </c>
      <c r="AB30" s="18">
        <f t="shared" si="102"/>
        <v>11650.560000000001</v>
      </c>
      <c r="AC30" s="18">
        <f t="shared" si="102"/>
        <v>11273.160000000002</v>
      </c>
      <c r="AD30" s="19" t="s">
        <v>5</v>
      </c>
      <c r="AE30" s="18">
        <v>1.2</v>
      </c>
      <c r="AF30" s="18">
        <f t="shared" ref="AF30:AX30" si="103">1.2*12*AF35</f>
        <v>7392.9599999999991</v>
      </c>
      <c r="AG30" s="18">
        <f t="shared" si="103"/>
        <v>5857.9199999999992</v>
      </c>
      <c r="AH30" s="18">
        <f t="shared" si="103"/>
        <v>7505.28</v>
      </c>
      <c r="AI30" s="18">
        <f t="shared" si="103"/>
        <v>10532.159999999998</v>
      </c>
      <c r="AJ30" s="18">
        <f t="shared" si="103"/>
        <v>10327.68</v>
      </c>
      <c r="AK30" s="18">
        <f t="shared" si="103"/>
        <v>10249.919999999998</v>
      </c>
      <c r="AL30" s="18">
        <f t="shared" si="103"/>
        <v>5974.5599999999995</v>
      </c>
      <c r="AM30" s="18">
        <f t="shared" si="103"/>
        <v>6049.44</v>
      </c>
      <c r="AN30" s="18">
        <f t="shared" si="103"/>
        <v>7679.5199999999986</v>
      </c>
      <c r="AO30" s="18">
        <f t="shared" si="103"/>
        <v>7655.04</v>
      </c>
      <c r="AP30" s="18">
        <f t="shared" si="103"/>
        <v>6698.8799999999992</v>
      </c>
      <c r="AQ30" s="18">
        <f t="shared" si="103"/>
        <v>9931.68</v>
      </c>
      <c r="AR30" s="18">
        <f t="shared" si="103"/>
        <v>9332.64</v>
      </c>
      <c r="AS30" s="18">
        <f t="shared" si="103"/>
        <v>4859.9999999999991</v>
      </c>
      <c r="AT30" s="18">
        <f t="shared" si="103"/>
        <v>4743.3599999999988</v>
      </c>
      <c r="AU30" s="18">
        <f t="shared" si="103"/>
        <v>10159.199999999999</v>
      </c>
      <c r="AV30" s="18">
        <f t="shared" si="103"/>
        <v>7462.08</v>
      </c>
      <c r="AW30" s="18">
        <f t="shared" si="103"/>
        <v>7392.9599999999991</v>
      </c>
      <c r="AX30" s="18">
        <f t="shared" si="103"/>
        <v>6132.9599999999991</v>
      </c>
    </row>
    <row r="31" spans="1:50" s="1" customFormat="1" ht="24">
      <c r="A31" s="81" t="s">
        <v>37</v>
      </c>
      <c r="B31" s="81"/>
      <c r="C31" s="81"/>
      <c r="D31" s="81"/>
      <c r="E31" s="81"/>
      <c r="F31" s="81"/>
      <c r="G31" s="7" t="s">
        <v>45</v>
      </c>
      <c r="H31" s="18">
        <f>0.51+0.3+0.22+0.12+0.17+0.22</f>
        <v>1.5399999999999998</v>
      </c>
      <c r="I31" s="18">
        <f>1.54*12*I35</f>
        <v>13708.464</v>
      </c>
      <c r="J31" s="18">
        <f t="shared" ref="J31:M31" si="104">1.54*12*J35</f>
        <v>8434.271999999999</v>
      </c>
      <c r="K31" s="18">
        <f t="shared" si="104"/>
        <v>7526.9040000000005</v>
      </c>
      <c r="L31" s="18">
        <f t="shared" si="104"/>
        <v>8593.2000000000007</v>
      </c>
      <c r="M31" s="18">
        <f t="shared" si="104"/>
        <v>7513.9680000000008</v>
      </c>
      <c r="N31" s="20" t="s">
        <v>45</v>
      </c>
      <c r="O31" s="18">
        <v>2.1199999999999997</v>
      </c>
      <c r="P31" s="18">
        <f>2.12*12*P35</f>
        <v>11005.344000000001</v>
      </c>
      <c r="Q31" s="18">
        <f t="shared" ref="Q31:Z31" si="105">2.12*12*Q35</f>
        <v>13297.488000000001</v>
      </c>
      <c r="R31" s="18">
        <f t="shared" si="105"/>
        <v>11687.136</v>
      </c>
      <c r="S31" s="18">
        <f t="shared" si="105"/>
        <v>8555.4720000000016</v>
      </c>
      <c r="T31" s="18">
        <f t="shared" si="105"/>
        <v>10305.744000000001</v>
      </c>
      <c r="U31" s="18">
        <f t="shared" si="105"/>
        <v>10870.512000000001</v>
      </c>
      <c r="V31" s="18">
        <f t="shared" si="105"/>
        <v>10644.096</v>
      </c>
      <c r="W31" s="18">
        <f t="shared" si="105"/>
        <v>10313.376</v>
      </c>
      <c r="X31" s="18">
        <f t="shared" si="105"/>
        <v>10722.960000000001</v>
      </c>
      <c r="Y31" s="18">
        <f t="shared" si="105"/>
        <v>10560.144</v>
      </c>
      <c r="Z31" s="18">
        <f t="shared" si="105"/>
        <v>15699.024000000001</v>
      </c>
      <c r="AA31" s="18">
        <f t="shared" ref="AA31:AC31" si="106">2.12*12*AA35</f>
        <v>13132.128000000002</v>
      </c>
      <c r="AB31" s="18">
        <f t="shared" si="106"/>
        <v>13350.912</v>
      </c>
      <c r="AC31" s="18">
        <f t="shared" si="106"/>
        <v>12918.432000000001</v>
      </c>
      <c r="AD31" s="20" t="s">
        <v>45</v>
      </c>
      <c r="AE31" s="18">
        <v>1.1099999999999999</v>
      </c>
      <c r="AF31" s="18">
        <f t="shared" ref="AF31:AX31" si="107">1.11*12*AF35</f>
        <v>6838.4880000000003</v>
      </c>
      <c r="AG31" s="18">
        <f t="shared" si="107"/>
        <v>5418.576</v>
      </c>
      <c r="AH31" s="18">
        <f t="shared" si="107"/>
        <v>6942.3840000000009</v>
      </c>
      <c r="AI31" s="18">
        <f t="shared" si="107"/>
        <v>9742.2479999999996</v>
      </c>
      <c r="AJ31" s="18">
        <f t="shared" si="107"/>
        <v>9553.1040000000012</v>
      </c>
      <c r="AK31" s="18">
        <f t="shared" si="107"/>
        <v>9481.1759999999995</v>
      </c>
      <c r="AL31" s="18">
        <f t="shared" si="107"/>
        <v>5526.4679999999998</v>
      </c>
      <c r="AM31" s="18">
        <f t="shared" si="107"/>
        <v>5595.732</v>
      </c>
      <c r="AN31" s="18">
        <f t="shared" si="107"/>
        <v>7103.5559999999996</v>
      </c>
      <c r="AO31" s="18">
        <f t="shared" si="107"/>
        <v>7080.9120000000003</v>
      </c>
      <c r="AP31" s="18">
        <f t="shared" si="107"/>
        <v>6196.4639999999999</v>
      </c>
      <c r="AQ31" s="18">
        <f t="shared" si="107"/>
        <v>9186.8040000000001</v>
      </c>
      <c r="AR31" s="18">
        <f t="shared" si="107"/>
        <v>8632.6920000000009</v>
      </c>
      <c r="AS31" s="18">
        <f t="shared" si="107"/>
        <v>4495.5</v>
      </c>
      <c r="AT31" s="18">
        <f t="shared" si="107"/>
        <v>4387.6080000000002</v>
      </c>
      <c r="AU31" s="18">
        <f t="shared" si="107"/>
        <v>9397.26</v>
      </c>
      <c r="AV31" s="18">
        <f t="shared" si="107"/>
        <v>6902.4240000000009</v>
      </c>
      <c r="AW31" s="18">
        <f t="shared" si="107"/>
        <v>6838.4880000000003</v>
      </c>
      <c r="AX31" s="18">
        <f t="shared" si="107"/>
        <v>5672.9879999999994</v>
      </c>
    </row>
    <row r="32" spans="1:50" s="1" customFormat="1">
      <c r="A32" s="81" t="s">
        <v>51</v>
      </c>
      <c r="B32" s="81"/>
      <c r="C32" s="81"/>
      <c r="D32" s="81"/>
      <c r="E32" s="81"/>
      <c r="F32" s="81"/>
      <c r="G32" s="9" t="s">
        <v>4</v>
      </c>
      <c r="H32" s="18">
        <v>0.87</v>
      </c>
      <c r="I32" s="18">
        <f>0.87*12*I35</f>
        <v>7744.3919999999989</v>
      </c>
      <c r="J32" s="18">
        <f t="shared" ref="J32:M32" si="108">0.87*12*J35</f>
        <v>4764.8159999999998</v>
      </c>
      <c r="K32" s="18">
        <f t="shared" si="108"/>
        <v>4252.2119999999995</v>
      </c>
      <c r="L32" s="18">
        <f t="shared" si="108"/>
        <v>4854.5999999999995</v>
      </c>
      <c r="M32" s="18">
        <f t="shared" si="108"/>
        <v>4244.9040000000005</v>
      </c>
      <c r="N32" s="18" t="s">
        <v>4</v>
      </c>
      <c r="O32" s="18">
        <v>1.36</v>
      </c>
      <c r="P32" s="18">
        <f>1.36*12*P35</f>
        <v>7060.0320000000002</v>
      </c>
      <c r="Q32" s="18">
        <f t="shared" ref="Q32:Z32" si="109">1.36*12*Q35</f>
        <v>8530.4640000000018</v>
      </c>
      <c r="R32" s="18">
        <f t="shared" si="109"/>
        <v>7497.4079999999994</v>
      </c>
      <c r="S32" s="18">
        <f t="shared" si="109"/>
        <v>5488.4160000000002</v>
      </c>
      <c r="T32" s="18">
        <f t="shared" si="109"/>
        <v>6611.2320000000009</v>
      </c>
      <c r="U32" s="18">
        <f t="shared" si="109"/>
        <v>6973.5360000000001</v>
      </c>
      <c r="V32" s="18">
        <f t="shared" si="109"/>
        <v>6828.2879999999996</v>
      </c>
      <c r="W32" s="18">
        <f t="shared" si="109"/>
        <v>6616.1279999999997</v>
      </c>
      <c r="X32" s="18">
        <f t="shared" si="109"/>
        <v>6878.88</v>
      </c>
      <c r="Y32" s="18">
        <f t="shared" si="109"/>
        <v>6774.4320000000007</v>
      </c>
      <c r="Z32" s="18">
        <f t="shared" si="109"/>
        <v>10071.072</v>
      </c>
      <c r="AA32" s="18">
        <f t="shared" ref="AA32:AC32" si="110">1.36*12*AA35</f>
        <v>8424.384</v>
      </c>
      <c r="AB32" s="18">
        <f t="shared" si="110"/>
        <v>8564.735999999999</v>
      </c>
      <c r="AC32" s="18">
        <f t="shared" si="110"/>
        <v>8287.2960000000003</v>
      </c>
      <c r="AD32" s="18" t="s">
        <v>4</v>
      </c>
      <c r="AE32" s="18">
        <v>0.94</v>
      </c>
      <c r="AF32" s="18">
        <f t="shared" ref="AF32:AX32" si="111">0.94*12*AF35</f>
        <v>5791.1519999999991</v>
      </c>
      <c r="AG32" s="18">
        <f t="shared" si="111"/>
        <v>4588.7039999999997</v>
      </c>
      <c r="AH32" s="18">
        <f t="shared" si="111"/>
        <v>5879.1360000000004</v>
      </c>
      <c r="AI32" s="18">
        <f t="shared" si="111"/>
        <v>8250.1919999999991</v>
      </c>
      <c r="AJ32" s="18">
        <f t="shared" si="111"/>
        <v>8090.0159999999996</v>
      </c>
      <c r="AK32" s="18">
        <f t="shared" si="111"/>
        <v>8029.1039999999994</v>
      </c>
      <c r="AL32" s="18">
        <f t="shared" si="111"/>
        <v>4680.0719999999992</v>
      </c>
      <c r="AM32" s="18">
        <f t="shared" si="111"/>
        <v>4738.7280000000001</v>
      </c>
      <c r="AN32" s="18">
        <f t="shared" si="111"/>
        <v>6015.6239999999989</v>
      </c>
      <c r="AO32" s="18">
        <f t="shared" si="111"/>
        <v>5996.4480000000003</v>
      </c>
      <c r="AP32" s="18">
        <f t="shared" si="111"/>
        <v>5247.4559999999992</v>
      </c>
      <c r="AQ32" s="18">
        <f t="shared" si="111"/>
        <v>7779.8159999999998</v>
      </c>
      <c r="AR32" s="18">
        <f t="shared" si="111"/>
        <v>7310.5680000000002</v>
      </c>
      <c r="AS32" s="18">
        <f t="shared" si="111"/>
        <v>3807</v>
      </c>
      <c r="AT32" s="18">
        <f t="shared" si="111"/>
        <v>3715.6319999999996</v>
      </c>
      <c r="AU32" s="18">
        <f t="shared" si="111"/>
        <v>7958.04</v>
      </c>
      <c r="AV32" s="18">
        <f t="shared" si="111"/>
        <v>5845.2960000000003</v>
      </c>
      <c r="AW32" s="18">
        <f t="shared" si="111"/>
        <v>5791.1519999999991</v>
      </c>
      <c r="AX32" s="18">
        <f t="shared" si="111"/>
        <v>4804.1519999999991</v>
      </c>
    </row>
    <row r="33" spans="1:65" s="1" customFormat="1">
      <c r="A33" s="81" t="s">
        <v>52</v>
      </c>
      <c r="B33" s="81"/>
      <c r="C33" s="81"/>
      <c r="D33" s="81"/>
      <c r="E33" s="81"/>
      <c r="F33" s="81"/>
      <c r="G33" s="9" t="s">
        <v>8</v>
      </c>
      <c r="H33" s="18">
        <v>0.71</v>
      </c>
      <c r="I33" s="18">
        <f>0.71*12*I35</f>
        <v>6320.1359999999995</v>
      </c>
      <c r="J33" s="18">
        <f t="shared" ref="J33:M33" si="112">0.71*12*J35</f>
        <v>3888.5279999999998</v>
      </c>
      <c r="K33" s="18">
        <f t="shared" si="112"/>
        <v>3470.1959999999999</v>
      </c>
      <c r="L33" s="18">
        <f t="shared" si="112"/>
        <v>3961.7999999999997</v>
      </c>
      <c r="M33" s="18">
        <f t="shared" si="112"/>
        <v>3464.232</v>
      </c>
      <c r="N33" s="18" t="s">
        <v>8</v>
      </c>
      <c r="O33" s="18">
        <v>0.43</v>
      </c>
      <c r="P33" s="18">
        <f>0.43*12*P35</f>
        <v>2232.2160000000003</v>
      </c>
      <c r="Q33" s="18">
        <f t="shared" ref="Q33:Z33" si="113">0.43*12*Q35</f>
        <v>2697.1320000000005</v>
      </c>
      <c r="R33" s="18">
        <f t="shared" si="113"/>
        <v>2370.5039999999999</v>
      </c>
      <c r="S33" s="18">
        <f t="shared" si="113"/>
        <v>1735.308</v>
      </c>
      <c r="T33" s="18">
        <f t="shared" si="113"/>
        <v>2090.3160000000003</v>
      </c>
      <c r="U33" s="18">
        <f t="shared" si="113"/>
        <v>2204.8679999999999</v>
      </c>
      <c r="V33" s="18">
        <f t="shared" si="113"/>
        <v>2158.944</v>
      </c>
      <c r="W33" s="18">
        <f t="shared" si="113"/>
        <v>2091.864</v>
      </c>
      <c r="X33" s="18">
        <f t="shared" si="113"/>
        <v>2174.94</v>
      </c>
      <c r="Y33" s="18">
        <f t="shared" si="113"/>
        <v>2141.9160000000002</v>
      </c>
      <c r="Z33" s="18">
        <f t="shared" si="113"/>
        <v>3184.2360000000003</v>
      </c>
      <c r="AA33" s="18">
        <f t="shared" ref="AA33:AC33" si="114">0.43*12*AA35</f>
        <v>2663.5920000000001</v>
      </c>
      <c r="AB33" s="18">
        <f t="shared" si="114"/>
        <v>2707.9679999999998</v>
      </c>
      <c r="AC33" s="18">
        <f t="shared" si="114"/>
        <v>2620.248</v>
      </c>
      <c r="AD33" s="18" t="s">
        <v>8</v>
      </c>
      <c r="AE33" s="18">
        <v>0.21</v>
      </c>
      <c r="AF33" s="18">
        <f t="shared" ref="AF33:AX33" si="115">0.21*12*AF35</f>
        <v>1293.768</v>
      </c>
      <c r="AG33" s="18">
        <f t="shared" si="115"/>
        <v>1025.136</v>
      </c>
      <c r="AH33" s="18">
        <f t="shared" si="115"/>
        <v>1313.4240000000002</v>
      </c>
      <c r="AI33" s="18">
        <f t="shared" si="115"/>
        <v>1843.1279999999999</v>
      </c>
      <c r="AJ33" s="18">
        <f t="shared" si="115"/>
        <v>1807.3440000000001</v>
      </c>
      <c r="AK33" s="18">
        <f t="shared" si="115"/>
        <v>1793.7359999999999</v>
      </c>
      <c r="AL33" s="18">
        <f t="shared" si="115"/>
        <v>1045.548</v>
      </c>
      <c r="AM33" s="18">
        <f t="shared" si="115"/>
        <v>1058.652</v>
      </c>
      <c r="AN33" s="18">
        <f t="shared" si="115"/>
        <v>1343.9159999999999</v>
      </c>
      <c r="AO33" s="18">
        <f t="shared" si="115"/>
        <v>1339.6320000000001</v>
      </c>
      <c r="AP33" s="18">
        <f t="shared" si="115"/>
        <v>1172.3040000000001</v>
      </c>
      <c r="AQ33" s="18">
        <f t="shared" si="115"/>
        <v>1738.0440000000001</v>
      </c>
      <c r="AR33" s="18">
        <f t="shared" si="115"/>
        <v>1633.212</v>
      </c>
      <c r="AS33" s="18">
        <f t="shared" si="115"/>
        <v>850.5</v>
      </c>
      <c r="AT33" s="18">
        <f t="shared" si="115"/>
        <v>830.08799999999997</v>
      </c>
      <c r="AU33" s="18">
        <f t="shared" si="115"/>
        <v>1777.86</v>
      </c>
      <c r="AV33" s="18">
        <f t="shared" si="115"/>
        <v>1305.864</v>
      </c>
      <c r="AW33" s="18">
        <f t="shared" si="115"/>
        <v>1293.768</v>
      </c>
      <c r="AX33" s="18">
        <f t="shared" si="115"/>
        <v>1073.268</v>
      </c>
    </row>
    <row r="34" spans="1:65" s="1" customFormat="1">
      <c r="A34" s="70" t="s">
        <v>2</v>
      </c>
      <c r="B34" s="71"/>
      <c r="C34" s="71"/>
      <c r="D34" s="71"/>
      <c r="E34" s="71"/>
      <c r="F34" s="72"/>
      <c r="G34" s="28"/>
      <c r="H34" s="29"/>
      <c r="I34" s="30">
        <f>I14+I22+I28</f>
        <v>162454.19999999998</v>
      </c>
      <c r="J34" s="30">
        <f t="shared" ref="J34:M34" si="116">J14+J22+J28</f>
        <v>99951.599999999977</v>
      </c>
      <c r="K34" s="30">
        <f t="shared" si="116"/>
        <v>89198.7</v>
      </c>
      <c r="L34" s="30">
        <f t="shared" si="116"/>
        <v>101835</v>
      </c>
      <c r="M34" s="30">
        <f t="shared" si="116"/>
        <v>89045.4</v>
      </c>
      <c r="N34" s="29"/>
      <c r="O34" s="31"/>
      <c r="P34" s="30">
        <f>P14+P22+P28</f>
        <v>112597.128</v>
      </c>
      <c r="Q34" s="30">
        <f t="shared" ref="Q34:Z34" si="117">Q14+Q22+Q28</f>
        <v>136048.356</v>
      </c>
      <c r="R34" s="30">
        <f t="shared" si="117"/>
        <v>119572.63199999998</v>
      </c>
      <c r="S34" s="30">
        <f t="shared" si="117"/>
        <v>87532.164000000004</v>
      </c>
      <c r="T34" s="30">
        <f t="shared" si="117"/>
        <v>105439.428</v>
      </c>
      <c r="U34" s="30">
        <f t="shared" si="117"/>
        <v>111217.64400000001</v>
      </c>
      <c r="V34" s="30">
        <f t="shared" si="117"/>
        <v>108901.152</v>
      </c>
      <c r="W34" s="30">
        <f t="shared" si="117"/>
        <v>105517.51199999999</v>
      </c>
      <c r="X34" s="30">
        <f t="shared" si="117"/>
        <v>109708.02</v>
      </c>
      <c r="Y34" s="30">
        <f t="shared" si="117"/>
        <v>108042.228</v>
      </c>
      <c r="Z34" s="30">
        <f t="shared" si="117"/>
        <v>160618.788</v>
      </c>
      <c r="AA34" s="30">
        <f t="shared" ref="AA34:AC34" si="118">AA14+AA22+AA28</f>
        <v>134356.53600000002</v>
      </c>
      <c r="AB34" s="30">
        <f t="shared" si="118"/>
        <v>136594.94399999999</v>
      </c>
      <c r="AC34" s="30">
        <f t="shared" si="118"/>
        <v>132170.18400000001</v>
      </c>
      <c r="AD34" s="29"/>
      <c r="AE34" s="32"/>
      <c r="AF34" s="30">
        <f t="shared" ref="AF34:AX34" si="119">AF14+AF22+AF28</f>
        <v>133812.576</v>
      </c>
      <c r="AG34" s="30">
        <f t="shared" si="119"/>
        <v>106028.352</v>
      </c>
      <c r="AH34" s="30">
        <f t="shared" si="119"/>
        <v>135845.568</v>
      </c>
      <c r="AI34" s="30">
        <f t="shared" si="119"/>
        <v>190632.09599999999</v>
      </c>
      <c r="AJ34" s="30">
        <f t="shared" si="119"/>
        <v>186931.00800000003</v>
      </c>
      <c r="AK34" s="30">
        <f t="shared" si="119"/>
        <v>185523.55199999997</v>
      </c>
      <c r="AL34" s="30">
        <f t="shared" si="119"/>
        <v>108139.53599999999</v>
      </c>
      <c r="AM34" s="30">
        <f t="shared" si="119"/>
        <v>109494.86400000002</v>
      </c>
      <c r="AN34" s="30">
        <f t="shared" si="119"/>
        <v>138999.31199999998</v>
      </c>
      <c r="AO34" s="30">
        <f t="shared" si="119"/>
        <v>138556.22400000002</v>
      </c>
      <c r="AP34" s="30">
        <f t="shared" si="119"/>
        <v>121249.72799999999</v>
      </c>
      <c r="AQ34" s="30">
        <f t="shared" si="119"/>
        <v>179763.408</v>
      </c>
      <c r="AR34" s="30">
        <f t="shared" si="119"/>
        <v>168920.78400000001</v>
      </c>
      <c r="AS34" s="30">
        <f t="shared" si="119"/>
        <v>87966</v>
      </c>
      <c r="AT34" s="30">
        <f t="shared" si="119"/>
        <v>85854.815999999992</v>
      </c>
      <c r="AU34" s="30">
        <f t="shared" si="119"/>
        <v>183881.52</v>
      </c>
      <c r="AV34" s="30">
        <f t="shared" si="119"/>
        <v>135063.64800000004</v>
      </c>
      <c r="AW34" s="30">
        <f t="shared" si="119"/>
        <v>133812.576</v>
      </c>
      <c r="AX34" s="30">
        <f t="shared" si="119"/>
        <v>111006.576</v>
      </c>
      <c r="AY34" s="50">
        <f>SUM(I34:AX34)</f>
        <v>4852283.76</v>
      </c>
      <c r="AZ34" s="1">
        <f>AY34/12*0.05</f>
        <v>20217.849000000002</v>
      </c>
    </row>
    <row r="35" spans="1:65" s="45" customFormat="1">
      <c r="A35" s="73" t="s">
        <v>1</v>
      </c>
      <c r="B35" s="73"/>
      <c r="C35" s="73"/>
      <c r="D35" s="73"/>
      <c r="E35" s="73"/>
      <c r="F35" s="73"/>
      <c r="G35" s="46"/>
      <c r="H35" s="47"/>
      <c r="I35" s="48" t="s">
        <v>66</v>
      </c>
      <c r="J35" s="48" t="s">
        <v>67</v>
      </c>
      <c r="K35" s="48" t="s">
        <v>68</v>
      </c>
      <c r="L35" s="48" t="s">
        <v>69</v>
      </c>
      <c r="M35" s="48" t="s">
        <v>70</v>
      </c>
      <c r="N35" s="49"/>
      <c r="O35" s="47"/>
      <c r="P35" s="51" t="s">
        <v>85</v>
      </c>
      <c r="Q35" s="51" t="s">
        <v>86</v>
      </c>
      <c r="R35" s="51" t="s">
        <v>87</v>
      </c>
      <c r="S35" s="51" t="s">
        <v>88</v>
      </c>
      <c r="T35" s="51" t="s">
        <v>89</v>
      </c>
      <c r="U35" s="51" t="s">
        <v>90</v>
      </c>
      <c r="V35" s="51" t="s">
        <v>91</v>
      </c>
      <c r="W35" s="51" t="s">
        <v>92</v>
      </c>
      <c r="X35" s="51" t="s">
        <v>93</v>
      </c>
      <c r="Y35" s="51" t="s">
        <v>94</v>
      </c>
      <c r="Z35" s="51" t="s">
        <v>95</v>
      </c>
      <c r="AA35" s="51" t="s">
        <v>96</v>
      </c>
      <c r="AB35" s="51" t="s">
        <v>97</v>
      </c>
      <c r="AC35" s="51" t="s">
        <v>98</v>
      </c>
      <c r="AD35" s="49"/>
      <c r="AE35" s="49"/>
      <c r="AF35" s="48" t="s">
        <v>115</v>
      </c>
      <c r="AG35" s="48" t="s">
        <v>116</v>
      </c>
      <c r="AH35" s="48" t="s">
        <v>117</v>
      </c>
      <c r="AI35" s="48" t="s">
        <v>118</v>
      </c>
      <c r="AJ35" s="48" t="s">
        <v>119</v>
      </c>
      <c r="AK35" s="48" t="s">
        <v>120</v>
      </c>
      <c r="AL35" s="48" t="s">
        <v>121</v>
      </c>
      <c r="AM35" s="48" t="s">
        <v>122</v>
      </c>
      <c r="AN35" s="48" t="s">
        <v>123</v>
      </c>
      <c r="AO35" s="48" t="s">
        <v>124</v>
      </c>
      <c r="AP35" s="48" t="s">
        <v>125</v>
      </c>
      <c r="AQ35" s="48" t="s">
        <v>126</v>
      </c>
      <c r="AR35" s="48" t="s">
        <v>127</v>
      </c>
      <c r="AS35" s="48" t="s">
        <v>128</v>
      </c>
      <c r="AT35" s="48" t="s">
        <v>129</v>
      </c>
      <c r="AU35" s="48" t="s">
        <v>130</v>
      </c>
      <c r="AV35" s="48" t="s">
        <v>131</v>
      </c>
      <c r="AW35" s="48" t="s">
        <v>115</v>
      </c>
      <c r="AX35" s="48" t="s">
        <v>132</v>
      </c>
    </row>
    <row r="36" spans="1:65" s="2" customFormat="1" ht="25.5" customHeight="1">
      <c r="A36" s="74" t="s">
        <v>50</v>
      </c>
      <c r="B36" s="75"/>
      <c r="C36" s="75"/>
      <c r="D36" s="75"/>
      <c r="E36" s="75"/>
      <c r="F36" s="76"/>
      <c r="G36" s="33"/>
      <c r="H36" s="34">
        <f>H14+H22+H28</f>
        <v>18.249999999999996</v>
      </c>
      <c r="I36" s="34">
        <f>I34 /12/I35</f>
        <v>18.25</v>
      </c>
      <c r="J36" s="34">
        <f t="shared" ref="J36:M36" si="120">J34 /12/J35</f>
        <v>18.249999999999996</v>
      </c>
      <c r="K36" s="34">
        <f t="shared" si="120"/>
        <v>18.249999999999996</v>
      </c>
      <c r="L36" s="34">
        <f t="shared" si="120"/>
        <v>18.25</v>
      </c>
      <c r="M36" s="34">
        <f t="shared" si="120"/>
        <v>18.25</v>
      </c>
      <c r="N36" s="34"/>
      <c r="O36" s="34">
        <v>21.689999999999998</v>
      </c>
      <c r="P36" s="34">
        <f>P34/12/P35</f>
        <v>21.689999999999998</v>
      </c>
      <c r="Q36" s="34">
        <f t="shared" ref="Q36:Z36" si="121">Q34/12/Q35</f>
        <v>21.689999999999998</v>
      </c>
      <c r="R36" s="34">
        <f t="shared" si="121"/>
        <v>21.689999999999998</v>
      </c>
      <c r="S36" s="34">
        <f t="shared" si="121"/>
        <v>21.69</v>
      </c>
      <c r="T36" s="34">
        <f t="shared" si="121"/>
        <v>21.69</v>
      </c>
      <c r="U36" s="34">
        <f t="shared" si="121"/>
        <v>21.69</v>
      </c>
      <c r="V36" s="34">
        <f t="shared" si="121"/>
        <v>21.69</v>
      </c>
      <c r="W36" s="34">
        <f t="shared" si="121"/>
        <v>21.689999999999998</v>
      </c>
      <c r="X36" s="34">
        <f t="shared" si="121"/>
        <v>21.69</v>
      </c>
      <c r="Y36" s="34">
        <f t="shared" si="121"/>
        <v>21.689999999999998</v>
      </c>
      <c r="Z36" s="34">
        <f t="shared" si="121"/>
        <v>21.689999999999998</v>
      </c>
      <c r="AA36" s="34">
        <f t="shared" ref="AA36:AC36" si="122">AA34/12/AA35</f>
        <v>21.69</v>
      </c>
      <c r="AB36" s="34">
        <f t="shared" si="122"/>
        <v>21.689999999999998</v>
      </c>
      <c r="AC36" s="34">
        <f t="shared" si="122"/>
        <v>21.69</v>
      </c>
      <c r="AD36" s="34"/>
      <c r="AE36" s="34">
        <v>21.72</v>
      </c>
      <c r="AF36" s="34">
        <f t="shared" ref="AF36:AX36" si="123">AF34/12/AF35</f>
        <v>21.720000000000002</v>
      </c>
      <c r="AG36" s="34">
        <f t="shared" si="123"/>
        <v>21.72</v>
      </c>
      <c r="AH36" s="34">
        <f t="shared" si="123"/>
        <v>21.72</v>
      </c>
      <c r="AI36" s="34">
        <f t="shared" si="123"/>
        <v>21.72</v>
      </c>
      <c r="AJ36" s="34">
        <f t="shared" si="123"/>
        <v>21.720000000000002</v>
      </c>
      <c r="AK36" s="34">
        <f t="shared" si="123"/>
        <v>21.719999999999995</v>
      </c>
      <c r="AL36" s="34">
        <f t="shared" si="123"/>
        <v>21.72</v>
      </c>
      <c r="AM36" s="34">
        <f t="shared" si="123"/>
        <v>21.720000000000002</v>
      </c>
      <c r="AN36" s="34">
        <f t="shared" si="123"/>
        <v>21.72</v>
      </c>
      <c r="AO36" s="34">
        <f t="shared" si="123"/>
        <v>21.72</v>
      </c>
      <c r="AP36" s="34">
        <f t="shared" si="123"/>
        <v>21.72</v>
      </c>
      <c r="AQ36" s="34">
        <f t="shared" si="123"/>
        <v>21.72</v>
      </c>
      <c r="AR36" s="34">
        <f t="shared" si="123"/>
        <v>21.720000000000002</v>
      </c>
      <c r="AS36" s="34">
        <f t="shared" si="123"/>
        <v>21.72</v>
      </c>
      <c r="AT36" s="34">
        <f t="shared" si="123"/>
        <v>21.72</v>
      </c>
      <c r="AU36" s="34">
        <f t="shared" si="123"/>
        <v>21.72</v>
      </c>
      <c r="AV36" s="34">
        <f t="shared" si="123"/>
        <v>21.720000000000006</v>
      </c>
      <c r="AW36" s="34">
        <f t="shared" si="123"/>
        <v>21.720000000000002</v>
      </c>
      <c r="AX36" s="34">
        <f t="shared" si="123"/>
        <v>21.720000000000002</v>
      </c>
    </row>
    <row r="37" spans="1:65" s="1" customFormat="1" ht="12.75" customHeight="1">
      <c r="A37" s="6"/>
      <c r="B37" s="6"/>
      <c r="C37" s="6"/>
      <c r="D37" s="6"/>
      <c r="E37" s="6"/>
      <c r="F37" s="6"/>
      <c r="G37" s="6"/>
      <c r="H37" s="8"/>
      <c r="I37" s="8"/>
      <c r="J37" s="8"/>
      <c r="K37" s="8"/>
      <c r="L37" s="8"/>
      <c r="M37" s="8"/>
      <c r="N37" s="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12"/>
      <c r="AA37" s="13"/>
      <c r="AB37" s="13"/>
      <c r="AC37" s="12"/>
      <c r="AD37" s="6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65" s="1" customFormat="1" ht="12.75" hidden="1" customHeight="1">
      <c r="A38" s="6"/>
      <c r="B38" s="6"/>
      <c r="C38" s="6"/>
      <c r="D38" s="6"/>
      <c r="E38" s="6"/>
      <c r="F38" s="6"/>
      <c r="G38" s="6"/>
      <c r="H38" s="8"/>
      <c r="I38" s="8"/>
      <c r="J38" s="8"/>
      <c r="K38" s="8"/>
      <c r="L38" s="8"/>
      <c r="M38" s="8"/>
      <c r="N38" s="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12"/>
      <c r="AA38" s="13"/>
      <c r="AB38" s="13"/>
      <c r="AC38" s="12"/>
      <c r="AD38" s="6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65" s="1" customFormat="1">
      <c r="A39" s="6"/>
      <c r="B39" s="6"/>
      <c r="C39" s="6"/>
      <c r="D39" s="6"/>
      <c r="E39" s="6"/>
      <c r="F39" s="6"/>
      <c r="G39" s="6"/>
      <c r="H39" s="8"/>
      <c r="I39" s="8"/>
      <c r="J39" s="8"/>
      <c r="K39" s="8"/>
      <c r="L39" s="8"/>
      <c r="M39" s="8"/>
      <c r="N39" s="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6"/>
      <c r="AA39" s="13"/>
      <c r="AB39" s="13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BL39"/>
      <c r="BM39"/>
    </row>
    <row r="40" spans="1:65" s="1" customFormat="1">
      <c r="A40" s="6"/>
      <c r="B40" s="6"/>
      <c r="C40" s="6"/>
      <c r="D40" s="6"/>
      <c r="E40" s="6"/>
      <c r="F40" s="6"/>
      <c r="G40" s="6"/>
      <c r="H40" s="8"/>
      <c r="I40" s="8"/>
      <c r="J40" s="8"/>
      <c r="K40" s="8"/>
      <c r="L40" s="8"/>
      <c r="M40" s="8"/>
      <c r="N40" s="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6"/>
      <c r="AA40" s="13"/>
      <c r="AB40" s="13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BL40"/>
      <c r="BM40"/>
    </row>
    <row r="41" spans="1:65" s="1" customFormat="1">
      <c r="A41" s="6" t="s">
        <v>0</v>
      </c>
      <c r="B41" s="6">
        <v>12</v>
      </c>
      <c r="C41" s="6"/>
      <c r="D41" s="6"/>
      <c r="E41" s="6"/>
      <c r="F41" s="6"/>
      <c r="G41" s="6"/>
      <c r="H41" s="8"/>
      <c r="I41" s="8"/>
      <c r="J41" s="8"/>
      <c r="K41" s="8"/>
      <c r="L41" s="8"/>
      <c r="M41" s="8"/>
      <c r="N41" s="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6"/>
      <c r="AA41" s="13"/>
      <c r="AB41" s="13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</row>
    <row r="42" spans="1:65" s="1" customFormat="1">
      <c r="A42" s="6"/>
      <c r="B42" s="6"/>
      <c r="C42" s="6"/>
      <c r="D42" s="6"/>
      <c r="E42" s="6"/>
      <c r="F42" s="6"/>
      <c r="G42" s="6"/>
      <c r="H42" s="8"/>
      <c r="I42" s="8"/>
      <c r="J42" s="8"/>
      <c r="K42" s="8"/>
      <c r="L42" s="8"/>
      <c r="M42" s="8"/>
      <c r="N42" s="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6"/>
      <c r="AA42" s="13"/>
      <c r="AB42" s="13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BL42"/>
      <c r="BM42"/>
    </row>
  </sheetData>
  <mergeCells count="39">
    <mergeCell ref="A15:F15"/>
    <mergeCell ref="A1:G1"/>
    <mergeCell ref="A2:G2"/>
    <mergeCell ref="A3:G3"/>
    <mergeCell ref="A4:G4"/>
    <mergeCell ref="A9:F9"/>
    <mergeCell ref="A10:F10"/>
    <mergeCell ref="A11:F11"/>
    <mergeCell ref="A12:F12"/>
    <mergeCell ref="A13:F13"/>
    <mergeCell ref="A14:F14"/>
    <mergeCell ref="A27:F27"/>
    <mergeCell ref="A24:F24"/>
    <mergeCell ref="A16:F16"/>
    <mergeCell ref="A17:F17"/>
    <mergeCell ref="A18:F18"/>
    <mergeCell ref="A19:F19"/>
    <mergeCell ref="A20:F20"/>
    <mergeCell ref="A21:F21"/>
    <mergeCell ref="A22:F22"/>
    <mergeCell ref="A23:F23"/>
    <mergeCell ref="A25:F25"/>
    <mergeCell ref="A26:F26"/>
    <mergeCell ref="A34:F34"/>
    <mergeCell ref="A35:F35"/>
    <mergeCell ref="A36:F36"/>
    <mergeCell ref="A28:F28"/>
    <mergeCell ref="A29:F29"/>
    <mergeCell ref="A30:F30"/>
    <mergeCell ref="A33:F33"/>
    <mergeCell ref="A31:F31"/>
    <mergeCell ref="A32:F32"/>
    <mergeCell ref="O7:O8"/>
    <mergeCell ref="AD7:AD8"/>
    <mergeCell ref="AE7:AE8"/>
    <mergeCell ref="H7:H8"/>
    <mergeCell ref="A6:F8"/>
    <mergeCell ref="G7:G8"/>
    <mergeCell ref="N7:N8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лот1</vt:lpstr>
      <vt:lpstr>Лист1</vt:lpstr>
      <vt:lpstr>лот1!Область_печати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2015-09-30T11:08:43Z</cp:lastPrinted>
  <dcterms:created xsi:type="dcterms:W3CDTF">2013-04-24T10:34:01Z</dcterms:created>
  <dcterms:modified xsi:type="dcterms:W3CDTF">2015-09-30T11:10:03Z</dcterms:modified>
</cp:coreProperties>
</file>