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konovaAV\Desktop\"/>
    </mc:Choice>
  </mc:AlternateContent>
  <bookViews>
    <workbookView xWindow="480" yWindow="420" windowWidth="19440" windowHeight="12285"/>
  </bookViews>
  <sheets>
    <sheet name="лот1" sheetId="3" r:id="rId1"/>
    <sheet name="Лист1" sheetId="2" r:id="rId2"/>
  </sheets>
  <definedNames>
    <definedName name="Excel_BuiltIn_Print_Area_3" localSheetId="0">#REF!</definedName>
    <definedName name="Excel_BuiltIn_Print_Area_3">"$#ССЫЛ!.$A$1:$AJ$35"</definedName>
    <definedName name="_xlnm.Print_Titles" localSheetId="0">лот1!$A:$G</definedName>
    <definedName name="_xlnm.Print_Area" localSheetId="0">лот1!$A$1:$AO$36</definedName>
  </definedNames>
  <calcPr calcId="152511"/>
</workbook>
</file>

<file path=xl/calcChain.xml><?xml version="1.0" encoding="utf-8"?>
<calcChain xmlns="http://schemas.openxmlformats.org/spreadsheetml/2006/main">
  <c r="AO33" i="3" l="1"/>
  <c r="AO32" i="3"/>
  <c r="AO31" i="3"/>
  <c r="AO30" i="3"/>
  <c r="AO29" i="3"/>
  <c r="AN29" i="3"/>
  <c r="AN28" i="3" s="1"/>
  <c r="AO27" i="3"/>
  <c r="AN27" i="3"/>
  <c r="AN22" i="3" s="1"/>
  <c r="AO26" i="3"/>
  <c r="AO25" i="3"/>
  <c r="AO24" i="3"/>
  <c r="AO23" i="3"/>
  <c r="AO21" i="3"/>
  <c r="AO20" i="3"/>
  <c r="AO19" i="3"/>
  <c r="AO18" i="3"/>
  <c r="AO17" i="3"/>
  <c r="AO16" i="3"/>
  <c r="AO15" i="3"/>
  <c r="AN14" i="3"/>
  <c r="AN9" i="3"/>
  <c r="AL33" i="3"/>
  <c r="AK33" i="3"/>
  <c r="AJ33" i="3"/>
  <c r="AI33" i="3"/>
  <c r="AL32" i="3"/>
  <c r="AK32" i="3"/>
  <c r="AJ32" i="3"/>
  <c r="AI32" i="3"/>
  <c r="AL31" i="3"/>
  <c r="AK31" i="3"/>
  <c r="AJ31" i="3"/>
  <c r="AI31" i="3"/>
  <c r="AL30" i="3"/>
  <c r="AK30" i="3"/>
  <c r="AJ30" i="3"/>
  <c r="AI30" i="3"/>
  <c r="AL29" i="3"/>
  <c r="AK29" i="3"/>
  <c r="AJ29" i="3"/>
  <c r="AI29" i="3"/>
  <c r="AL27" i="3"/>
  <c r="AK27" i="3"/>
  <c r="AJ27" i="3"/>
  <c r="AI27" i="3"/>
  <c r="AL26" i="3"/>
  <c r="AK26" i="3"/>
  <c r="AJ26" i="3"/>
  <c r="AI26" i="3"/>
  <c r="AL25" i="3"/>
  <c r="AK25" i="3"/>
  <c r="AJ25" i="3"/>
  <c r="AI25" i="3"/>
  <c r="AL24" i="3"/>
  <c r="AK24" i="3"/>
  <c r="AJ24" i="3"/>
  <c r="AI24" i="3"/>
  <c r="AL23" i="3"/>
  <c r="AK23" i="3"/>
  <c r="AJ23" i="3"/>
  <c r="AI23" i="3"/>
  <c r="AL21" i="3"/>
  <c r="AK21" i="3"/>
  <c r="AJ21" i="3"/>
  <c r="AI21" i="3"/>
  <c r="AL20" i="3"/>
  <c r="AK20" i="3"/>
  <c r="AJ20" i="3"/>
  <c r="AI20" i="3"/>
  <c r="AL19" i="3"/>
  <c r="AK19" i="3"/>
  <c r="AJ19" i="3"/>
  <c r="AI19" i="3"/>
  <c r="AL18" i="3"/>
  <c r="AK18" i="3"/>
  <c r="AJ18" i="3"/>
  <c r="AI18" i="3"/>
  <c r="AL17" i="3"/>
  <c r="AK17" i="3"/>
  <c r="AJ17" i="3"/>
  <c r="AI17" i="3"/>
  <c r="AL16" i="3"/>
  <c r="AK16" i="3"/>
  <c r="AJ16" i="3"/>
  <c r="AI16" i="3"/>
  <c r="AL15" i="3"/>
  <c r="AK15" i="3"/>
  <c r="AK14" i="3" s="1"/>
  <c r="AJ15" i="3"/>
  <c r="AI15" i="3"/>
  <c r="AI14" i="3" s="1"/>
  <c r="AH33" i="3"/>
  <c r="AG33" i="3"/>
  <c r="AF33" i="3"/>
  <c r="AE33" i="3"/>
  <c r="AH32" i="3"/>
  <c r="AG32" i="3"/>
  <c r="AF32" i="3"/>
  <c r="AE32" i="3"/>
  <c r="AH31" i="3"/>
  <c r="AG31" i="3"/>
  <c r="AF31" i="3"/>
  <c r="AE31" i="3"/>
  <c r="AH30" i="3"/>
  <c r="AG30" i="3"/>
  <c r="AF30" i="3"/>
  <c r="AE30" i="3"/>
  <c r="AH29" i="3"/>
  <c r="AG29" i="3"/>
  <c r="AG28" i="3" s="1"/>
  <c r="AF29" i="3"/>
  <c r="AE29" i="3"/>
  <c r="AH28" i="3"/>
  <c r="AF28" i="3"/>
  <c r="AE28" i="3"/>
  <c r="AH27" i="3"/>
  <c r="AG27" i="3"/>
  <c r="AF27" i="3"/>
  <c r="AE27" i="3"/>
  <c r="AH26" i="3"/>
  <c r="AG26" i="3"/>
  <c r="AF26" i="3"/>
  <c r="AE26" i="3"/>
  <c r="AH25" i="3"/>
  <c r="AG25" i="3"/>
  <c r="AF25" i="3"/>
  <c r="AE25" i="3"/>
  <c r="AH24" i="3"/>
  <c r="AG24" i="3"/>
  <c r="AF24" i="3"/>
  <c r="AE24" i="3"/>
  <c r="AH23" i="3"/>
  <c r="AG23" i="3"/>
  <c r="AG22" i="3" s="1"/>
  <c r="AF23" i="3"/>
  <c r="AF22" i="3" s="1"/>
  <c r="AE23" i="3"/>
  <c r="AH22" i="3"/>
  <c r="AE22" i="3"/>
  <c r="AH21" i="3"/>
  <c r="AG21" i="3"/>
  <c r="AF21" i="3"/>
  <c r="AE21" i="3"/>
  <c r="AH20" i="3"/>
  <c r="AG20" i="3"/>
  <c r="AF20" i="3"/>
  <c r="AE20" i="3"/>
  <c r="AH19" i="3"/>
  <c r="AG19" i="3"/>
  <c r="AF19" i="3"/>
  <c r="AE19" i="3"/>
  <c r="AH18" i="3"/>
  <c r="AG18" i="3"/>
  <c r="AF18" i="3"/>
  <c r="AE18" i="3"/>
  <c r="AH17" i="3"/>
  <c r="AG17" i="3"/>
  <c r="AF17" i="3"/>
  <c r="AE17" i="3"/>
  <c r="AH16" i="3"/>
  <c r="AG16" i="3"/>
  <c r="AF16" i="3"/>
  <c r="AE16" i="3"/>
  <c r="AH15" i="3"/>
  <c r="AG15" i="3"/>
  <c r="AG14" i="3" s="1"/>
  <c r="AG34" i="3" s="1"/>
  <c r="AG36" i="3" s="1"/>
  <c r="AF15" i="3"/>
  <c r="AE15" i="3"/>
  <c r="AH14" i="3"/>
  <c r="AH34" i="3" s="1"/>
  <c r="AH36" i="3" s="1"/>
  <c r="AF14" i="3"/>
  <c r="AE14" i="3"/>
  <c r="AE34" i="3" s="1"/>
  <c r="AE36" i="3" s="1"/>
  <c r="AD33" i="3"/>
  <c r="AC33" i="3"/>
  <c r="AD32" i="3"/>
  <c r="AC32" i="3"/>
  <c r="AD31" i="3"/>
  <c r="AC31" i="3"/>
  <c r="AD30" i="3"/>
  <c r="AC30" i="3"/>
  <c r="AD29" i="3"/>
  <c r="AC29" i="3"/>
  <c r="AC28" i="3" s="1"/>
  <c r="AD28" i="3"/>
  <c r="AD27" i="3"/>
  <c r="AC27" i="3"/>
  <c r="AD26" i="3"/>
  <c r="AC26" i="3"/>
  <c r="AD25" i="3"/>
  <c r="AC25" i="3"/>
  <c r="AD24" i="3"/>
  <c r="AC24" i="3"/>
  <c r="AD23" i="3"/>
  <c r="AC23" i="3"/>
  <c r="AC22" i="3" s="1"/>
  <c r="AD22" i="3"/>
  <c r="AD21" i="3"/>
  <c r="AC21" i="3"/>
  <c r="AD20" i="3"/>
  <c r="AC20" i="3"/>
  <c r="AD19" i="3"/>
  <c r="AC19" i="3"/>
  <c r="AD18" i="3"/>
  <c r="AC18" i="3"/>
  <c r="AD17" i="3"/>
  <c r="AC17" i="3"/>
  <c r="AD16" i="3"/>
  <c r="AC16" i="3"/>
  <c r="AD15" i="3"/>
  <c r="AC15" i="3"/>
  <c r="AC14" i="3" s="1"/>
  <c r="AD14" i="3"/>
  <c r="AD34" i="3" s="1"/>
  <c r="AD36" i="3" s="1"/>
  <c r="AB33" i="3"/>
  <c r="AB32" i="3"/>
  <c r="AB31" i="3"/>
  <c r="AB30" i="3"/>
  <c r="AB29" i="3"/>
  <c r="AB27" i="3"/>
  <c r="AB26" i="3"/>
  <c r="AB25" i="3"/>
  <c r="AB24" i="3"/>
  <c r="AB23" i="3"/>
  <c r="AB21" i="3"/>
  <c r="AB20" i="3"/>
  <c r="AB19" i="3"/>
  <c r="AB18" i="3"/>
  <c r="AB17" i="3"/>
  <c r="AB16" i="3"/>
  <c r="AB15" i="3"/>
  <c r="X33" i="3"/>
  <c r="W33" i="3"/>
  <c r="V33" i="3"/>
  <c r="U33" i="3"/>
  <c r="T33" i="3"/>
  <c r="X32" i="3"/>
  <c r="W32" i="3"/>
  <c r="V32" i="3"/>
  <c r="U32" i="3"/>
  <c r="T32" i="3"/>
  <c r="X31" i="3"/>
  <c r="W31" i="3"/>
  <c r="V31" i="3"/>
  <c r="U31" i="3"/>
  <c r="U28" i="3" s="1"/>
  <c r="T31" i="3"/>
  <c r="X30" i="3"/>
  <c r="W30" i="3"/>
  <c r="V30" i="3"/>
  <c r="U30" i="3"/>
  <c r="T30" i="3"/>
  <c r="X29" i="3"/>
  <c r="W29" i="3"/>
  <c r="V29" i="3"/>
  <c r="U29" i="3"/>
  <c r="T29" i="3"/>
  <c r="W28" i="3"/>
  <c r="X27" i="3"/>
  <c r="W27" i="3"/>
  <c r="V27" i="3"/>
  <c r="U27" i="3"/>
  <c r="T27" i="3"/>
  <c r="X26" i="3"/>
  <c r="W26" i="3"/>
  <c r="V26" i="3"/>
  <c r="U26" i="3"/>
  <c r="T26" i="3"/>
  <c r="X25" i="3"/>
  <c r="W25" i="3"/>
  <c r="V25" i="3"/>
  <c r="U25" i="3"/>
  <c r="T25" i="3"/>
  <c r="X24" i="3"/>
  <c r="W24" i="3"/>
  <c r="V24" i="3"/>
  <c r="U24" i="3"/>
  <c r="T24" i="3"/>
  <c r="X23" i="3"/>
  <c r="W23" i="3"/>
  <c r="W22" i="3" s="1"/>
  <c r="V23" i="3"/>
  <c r="V22" i="3" s="1"/>
  <c r="U23" i="3"/>
  <c r="T23" i="3"/>
  <c r="U22" i="3"/>
  <c r="X21" i="3"/>
  <c r="W21" i="3"/>
  <c r="V21" i="3"/>
  <c r="U21" i="3"/>
  <c r="T21" i="3"/>
  <c r="X20" i="3"/>
  <c r="W20" i="3"/>
  <c r="V20" i="3"/>
  <c r="U20" i="3"/>
  <c r="T20" i="3"/>
  <c r="X19" i="3"/>
  <c r="W19" i="3"/>
  <c r="V19" i="3"/>
  <c r="U19" i="3"/>
  <c r="T19" i="3"/>
  <c r="X18" i="3"/>
  <c r="W18" i="3"/>
  <c r="V18" i="3"/>
  <c r="U18" i="3"/>
  <c r="T18" i="3"/>
  <c r="X17" i="3"/>
  <c r="W17" i="3"/>
  <c r="V17" i="3"/>
  <c r="U17" i="3"/>
  <c r="U14" i="3" s="1"/>
  <c r="U34" i="3" s="1"/>
  <c r="U36" i="3" s="1"/>
  <c r="T17" i="3"/>
  <c r="X16" i="3"/>
  <c r="W16" i="3"/>
  <c r="V16" i="3"/>
  <c r="U16" i="3"/>
  <c r="T16" i="3"/>
  <c r="X15" i="3"/>
  <c r="W15" i="3"/>
  <c r="V15" i="3"/>
  <c r="U15" i="3"/>
  <c r="T15" i="3"/>
  <c r="W14" i="3"/>
  <c r="X9" i="3"/>
  <c r="W9" i="3"/>
  <c r="V9" i="3"/>
  <c r="U9" i="3"/>
  <c r="T9" i="3"/>
  <c r="S33" i="3"/>
  <c r="R33" i="3"/>
  <c r="Q33" i="3"/>
  <c r="P33" i="3"/>
  <c r="S32" i="3"/>
  <c r="R32" i="3"/>
  <c r="Q32" i="3"/>
  <c r="P32" i="3"/>
  <c r="S31" i="3"/>
  <c r="R31" i="3"/>
  <c r="Q31" i="3"/>
  <c r="P31" i="3"/>
  <c r="S30" i="3"/>
  <c r="R30" i="3"/>
  <c r="Q30" i="3"/>
  <c r="P30" i="3"/>
  <c r="S29" i="3"/>
  <c r="S28" i="3" s="1"/>
  <c r="R29" i="3"/>
  <c r="Q29" i="3"/>
  <c r="P29" i="3"/>
  <c r="R28" i="3"/>
  <c r="Q28" i="3"/>
  <c r="P28" i="3"/>
  <c r="S27" i="3"/>
  <c r="R27" i="3"/>
  <c r="Q27" i="3"/>
  <c r="P27" i="3"/>
  <c r="S26" i="3"/>
  <c r="R26" i="3"/>
  <c r="Q26" i="3"/>
  <c r="P26" i="3"/>
  <c r="S25" i="3"/>
  <c r="R25" i="3"/>
  <c r="Q25" i="3"/>
  <c r="P25" i="3"/>
  <c r="S24" i="3"/>
  <c r="R24" i="3"/>
  <c r="Q24" i="3"/>
  <c r="P24" i="3"/>
  <c r="S23" i="3"/>
  <c r="S22" i="3" s="1"/>
  <c r="R23" i="3"/>
  <c r="Q23" i="3"/>
  <c r="P23" i="3"/>
  <c r="R22" i="3"/>
  <c r="Q22" i="3"/>
  <c r="P22" i="3"/>
  <c r="S21" i="3"/>
  <c r="R21" i="3"/>
  <c r="Q21" i="3"/>
  <c r="P21" i="3"/>
  <c r="S20" i="3"/>
  <c r="R20" i="3"/>
  <c r="Q20" i="3"/>
  <c r="P20" i="3"/>
  <c r="S19" i="3"/>
  <c r="R19" i="3"/>
  <c r="Q19" i="3"/>
  <c r="P19" i="3"/>
  <c r="S18" i="3"/>
  <c r="R18" i="3"/>
  <c r="Q18" i="3"/>
  <c r="P18" i="3"/>
  <c r="S17" i="3"/>
  <c r="R17" i="3"/>
  <c r="Q17" i="3"/>
  <c r="P17" i="3"/>
  <c r="S16" i="3"/>
  <c r="R16" i="3"/>
  <c r="Q16" i="3"/>
  <c r="P16" i="3"/>
  <c r="S15" i="3"/>
  <c r="S14" i="3" s="1"/>
  <c r="R15" i="3"/>
  <c r="Q15" i="3"/>
  <c r="P15" i="3"/>
  <c r="R14" i="3"/>
  <c r="R34" i="3" s="1"/>
  <c r="R36" i="3" s="1"/>
  <c r="Q14" i="3"/>
  <c r="Q34" i="3" s="1"/>
  <c r="Q36" i="3" s="1"/>
  <c r="P14" i="3"/>
  <c r="P34" i="3" s="1"/>
  <c r="P36" i="3" s="1"/>
  <c r="S9" i="3"/>
  <c r="R9" i="3"/>
  <c r="Q9" i="3"/>
  <c r="P9" i="3"/>
  <c r="O33" i="3"/>
  <c r="N33" i="3"/>
  <c r="O32" i="3"/>
  <c r="N32" i="3"/>
  <c r="O31" i="3"/>
  <c r="N31" i="3"/>
  <c r="O30" i="3"/>
  <c r="N30" i="3"/>
  <c r="O29" i="3"/>
  <c r="O28" i="3" s="1"/>
  <c r="N29" i="3"/>
  <c r="N28" i="3" s="1"/>
  <c r="O27" i="3"/>
  <c r="N27" i="3"/>
  <c r="O26" i="3"/>
  <c r="N26" i="3"/>
  <c r="O25" i="3"/>
  <c r="N25" i="3"/>
  <c r="O24" i="3"/>
  <c r="N24" i="3"/>
  <c r="O23" i="3"/>
  <c r="O22" i="3" s="1"/>
  <c r="N23" i="3"/>
  <c r="N22" i="3" s="1"/>
  <c r="O21" i="3"/>
  <c r="N21" i="3"/>
  <c r="O20" i="3"/>
  <c r="N20" i="3"/>
  <c r="O19" i="3"/>
  <c r="N19" i="3"/>
  <c r="O18" i="3"/>
  <c r="N18" i="3"/>
  <c r="O17" i="3"/>
  <c r="N17" i="3"/>
  <c r="O16" i="3"/>
  <c r="N16" i="3"/>
  <c r="O15" i="3"/>
  <c r="N15" i="3"/>
  <c r="N14" i="3" s="1"/>
  <c r="O9" i="3"/>
  <c r="N9" i="3"/>
  <c r="M33" i="3"/>
  <c r="M32" i="3"/>
  <c r="M31" i="3"/>
  <c r="M30" i="3"/>
  <c r="M29" i="3"/>
  <c r="M27" i="3"/>
  <c r="M26" i="3"/>
  <c r="M25" i="3"/>
  <c r="M24" i="3"/>
  <c r="M23" i="3"/>
  <c r="M21" i="3"/>
  <c r="M20" i="3"/>
  <c r="M19" i="3"/>
  <c r="M18" i="3"/>
  <c r="M17" i="3"/>
  <c r="M16" i="3"/>
  <c r="M15" i="3"/>
  <c r="M9" i="3"/>
  <c r="S34" i="3" l="1"/>
  <c r="S36" i="3" s="1"/>
  <c r="AC34" i="3"/>
  <c r="AC36" i="3" s="1"/>
  <c r="X14" i="3"/>
  <c r="T28" i="3"/>
  <c r="O14" i="3"/>
  <c r="T22" i="3"/>
  <c r="W34" i="3"/>
  <c r="W36" i="3" s="1"/>
  <c r="AF34" i="3"/>
  <c r="AF36" i="3" s="1"/>
  <c r="T14" i="3"/>
  <c r="X28" i="3"/>
  <c r="V14" i="3"/>
  <c r="V28" i="3"/>
  <c r="AL28" i="3"/>
  <c r="X22" i="3"/>
  <c r="AJ14" i="3"/>
  <c r="AL14" i="3"/>
  <c r="AI22" i="3"/>
  <c r="AK22" i="3"/>
  <c r="AJ22" i="3"/>
  <c r="AL22" i="3"/>
  <c r="AI28" i="3"/>
  <c r="AK28" i="3"/>
  <c r="AJ28" i="3"/>
  <c r="O34" i="3"/>
  <c r="O36" i="3" s="1"/>
  <c r="AB14" i="3"/>
  <c r="N34" i="3"/>
  <c r="N36" i="3" s="1"/>
  <c r="AO22" i="3"/>
  <c r="AO28" i="3"/>
  <c r="AN36" i="3"/>
  <c r="AO14" i="3"/>
  <c r="AB28" i="3"/>
  <c r="AB22" i="3"/>
  <c r="M22" i="3"/>
  <c r="M14" i="3"/>
  <c r="M28" i="3"/>
  <c r="X34" i="3" l="1"/>
  <c r="X36" i="3" s="1"/>
  <c r="V34" i="3"/>
  <c r="V36" i="3" s="1"/>
  <c r="T34" i="3"/>
  <c r="T36" i="3" s="1"/>
  <c r="AL34" i="3"/>
  <c r="AL36" i="3" s="1"/>
  <c r="AK34" i="3"/>
  <c r="AK36" i="3" s="1"/>
  <c r="AJ34" i="3"/>
  <c r="AJ36" i="3" s="1"/>
  <c r="AI34" i="3"/>
  <c r="AI36" i="3" s="1"/>
  <c r="AO34" i="3"/>
  <c r="AO36" i="3" s="1"/>
  <c r="AB34" i="3"/>
  <c r="AB36" i="3" s="1"/>
  <c r="M34" i="3"/>
  <c r="M36" i="3" s="1"/>
  <c r="AA33" i="3" l="1"/>
  <c r="AA32" i="3"/>
  <c r="AA31" i="3"/>
  <c r="AA30" i="3"/>
  <c r="AA29" i="3"/>
  <c r="AA27" i="3"/>
  <c r="AA23" i="3"/>
  <c r="AA21" i="3"/>
  <c r="AA20" i="3"/>
  <c r="AA18" i="3"/>
  <c r="AA17" i="3"/>
  <c r="AA16" i="3"/>
  <c r="AA15" i="3"/>
  <c r="AA26" i="3"/>
  <c r="AA25" i="3"/>
  <c r="AA24" i="3"/>
  <c r="AA19" i="3"/>
  <c r="Z31" i="3"/>
  <c r="Z29" i="3"/>
  <c r="Z27" i="3"/>
  <c r="Z22" i="3" s="1"/>
  <c r="Z14" i="3"/>
  <c r="Z9" i="3"/>
  <c r="L33" i="3"/>
  <c r="L32" i="3"/>
  <c r="L31" i="3"/>
  <c r="L30" i="3"/>
  <c r="L29" i="3"/>
  <c r="L27" i="3"/>
  <c r="L26" i="3"/>
  <c r="L25" i="3"/>
  <c r="L24" i="3"/>
  <c r="L23" i="3"/>
  <c r="L21" i="3"/>
  <c r="L20" i="3"/>
  <c r="L19" i="3"/>
  <c r="L18" i="3"/>
  <c r="L17" i="3"/>
  <c r="L16" i="3"/>
  <c r="L15" i="3"/>
  <c r="L9" i="3"/>
  <c r="L14" i="3" l="1"/>
  <c r="L28" i="3"/>
  <c r="AA28" i="3"/>
  <c r="Z28" i="3"/>
  <c r="Z36" i="3" s="1"/>
  <c r="L22" i="3"/>
  <c r="AA14" i="3"/>
  <c r="AA22" i="3"/>
  <c r="K33" i="3"/>
  <c r="K32" i="3"/>
  <c r="K31" i="3"/>
  <c r="K30" i="3"/>
  <c r="K29" i="3"/>
  <c r="K27" i="3"/>
  <c r="K26" i="3"/>
  <c r="K25" i="3"/>
  <c r="K24" i="3"/>
  <c r="K23" i="3"/>
  <c r="K21" i="3"/>
  <c r="K20" i="3"/>
  <c r="K19" i="3"/>
  <c r="K18" i="3"/>
  <c r="K17" i="3"/>
  <c r="K16" i="3"/>
  <c r="K15" i="3"/>
  <c r="K9" i="3"/>
  <c r="J9" i="3"/>
  <c r="J33" i="3"/>
  <c r="J32" i="3"/>
  <c r="J31" i="3"/>
  <c r="J30" i="3"/>
  <c r="J29" i="3"/>
  <c r="J27" i="3"/>
  <c r="J26" i="3"/>
  <c r="J25" i="3"/>
  <c r="J24" i="3"/>
  <c r="J23" i="3"/>
  <c r="J21" i="3"/>
  <c r="J20" i="3"/>
  <c r="J19" i="3"/>
  <c r="J18" i="3"/>
  <c r="J17" i="3"/>
  <c r="J16" i="3"/>
  <c r="I33" i="3"/>
  <c r="I32" i="3"/>
  <c r="I31" i="3"/>
  <c r="I30" i="3"/>
  <c r="I29" i="3"/>
  <c r="I27" i="3"/>
  <c r="I26" i="3"/>
  <c r="I25" i="3"/>
  <c r="I24" i="3"/>
  <c r="I23" i="3"/>
  <c r="I21" i="3"/>
  <c r="I20" i="3"/>
  <c r="I19" i="3"/>
  <c r="I18" i="3"/>
  <c r="I17" i="3"/>
  <c r="I16" i="3"/>
  <c r="J15" i="3"/>
  <c r="I15" i="3"/>
  <c r="I9" i="3"/>
  <c r="L34" i="3" l="1"/>
  <c r="L36" i="3" s="1"/>
  <c r="AA34" i="3"/>
  <c r="AA36" i="3" s="1"/>
  <c r="K14" i="3"/>
  <c r="K28" i="3"/>
  <c r="K22" i="3"/>
  <c r="J22" i="3"/>
  <c r="J14" i="3"/>
  <c r="J28" i="3"/>
  <c r="H31" i="3"/>
  <c r="H14" i="3"/>
  <c r="H29" i="3"/>
  <c r="H26" i="3"/>
  <c r="H27" i="3"/>
  <c r="K34" i="3" l="1"/>
  <c r="K36" i="3" s="1"/>
  <c r="J34" i="3"/>
  <c r="J36" i="3" s="1"/>
  <c r="I22" i="3"/>
  <c r="H28" i="3"/>
  <c r="H22" i="3"/>
  <c r="H9" i="3"/>
  <c r="H36" i="3" l="1"/>
  <c r="I28" i="3"/>
  <c r="I14" i="3" l="1"/>
  <c r="I34" i="3" s="1"/>
  <c r="AQ34" i="3" s="1"/>
  <c r="AR34" i="3" s="1"/>
  <c r="I36" i="3" l="1"/>
</calcChain>
</file>

<file path=xl/sharedStrings.xml><?xml version="1.0" encoding="utf-8"?>
<sst xmlns="http://schemas.openxmlformats.org/spreadsheetml/2006/main" count="196" uniqueCount="120">
  <si>
    <t>месяцы</t>
  </si>
  <si>
    <t>Площадь жилых помещений</t>
  </si>
  <si>
    <t>Общая годовая стоимость работ по многоквартирным домам</t>
  </si>
  <si>
    <t>раз(а) в год</t>
  </si>
  <si>
    <t>4 раз(а) в год</t>
  </si>
  <si>
    <t>постоянно
на системах водоснабжения, теплоснабжения, газоснабжения, канализации, энергоснабжения</t>
  </si>
  <si>
    <t>18. Аварийное обслуживание</t>
  </si>
  <si>
    <t>IV. Проведение технических осмотров и мелкий ремонт</t>
  </si>
  <si>
    <t>1 раз(а) в год</t>
  </si>
  <si>
    <t>по мере необходимости в течение (указать период устранения неисправности)</t>
  </si>
  <si>
    <t>III. Подготовка многоквартирного дома к сезонной эксплуатации</t>
  </si>
  <si>
    <t>раз(а) в неделю</t>
  </si>
  <si>
    <t>по мере необходимости. Начало работ не позднее _____ часов после начала снегопада</t>
  </si>
  <si>
    <t>5 раз(а) в неделю</t>
  </si>
  <si>
    <t>II. Уборка земельного участка, входящего в состав общего имущества многоквартирного дома</t>
  </si>
  <si>
    <t>раз(а) в месяц</t>
  </si>
  <si>
    <t>4. Мытье и протирка закрывающих устройств мусоропровода</t>
  </si>
  <si>
    <t>3. Очистка и влажная уборка мусорных камер</t>
  </si>
  <si>
    <t>I. Содержание помещений общего пользования</t>
  </si>
  <si>
    <t>Периодичность</t>
  </si>
  <si>
    <t>Стоимость работ (размер платы) в руб. по многоквартирным домам</t>
  </si>
  <si>
    <t>Перечень обязательных работ, услуг</t>
  </si>
  <si>
    <t>объектом конкурса</t>
  </si>
  <si>
    <t>собственников помещений в многоквартирном доме, являющегося</t>
  </si>
  <si>
    <t>обязательных работ и услуг по содержанию и ремонту общего имущества</t>
  </si>
  <si>
    <t>ПЕРЕЧЕНЬ</t>
  </si>
  <si>
    <t>1. Сухая и влажная  уборка полов во всех помещениях общего пользования</t>
  </si>
  <si>
    <t xml:space="preserve">2. Сухая и влажная уборка полов кабины лифта </t>
  </si>
  <si>
    <t xml:space="preserve">13. Выявление деформации и повреждений водоотводящих устройств и оборудования, 
</t>
  </si>
  <si>
    <t xml:space="preserve">14.Контроль состояния и восстановление исправности элементов внутренней канализации, канализационных вытяжек, внутреннего водостока
</t>
  </si>
  <si>
    <t xml:space="preserve">15. Проверка целостности оконных и дверных заполнений в помещениях общего пользования, работоспособности фурнитуры элементов оконных и дверных заполнений, при выявлении нарушений в отопительный период - незамедлительный ремонт
</t>
  </si>
  <si>
    <t>6. Уборка мусора на контейнерных площадках (помойных ям)</t>
  </si>
  <si>
    <t>7. Очистка придомовой территории от снега при отсутствии снегопадов</t>
  </si>
  <si>
    <t>8. Сдвигание свежепыпавшего снега и подметание снега при снегопаде, очиска придомовой территории от наледи и льда c подсыпкой противоскользящего материала</t>
  </si>
  <si>
    <t xml:space="preserve">9. Проверка и при необходимости очистка кровли от скопления снега и наледи, сосулек
</t>
  </si>
  <si>
    <t>10. Вывоз твердых бытовых отходов (ТБО), жидких бытовых отходов</t>
  </si>
  <si>
    <t>11. Очистка выгребных ям (для деревянных неблагоустроенных зданий)</t>
  </si>
  <si>
    <t>19. Ремонт кровли, крылец, козырьков, деревянных тротуаров</t>
  </si>
  <si>
    <t xml:space="preserve">12. Сезонный осмотр конструкций здания( фасадов, стен, фундаментов, кровли)
</t>
  </si>
  <si>
    <t>17. Техническое обслуживание и сезонное управление оборудованием систем вентиляции и дымоудаления, устранение неисправностей печей, каминов и очагов, влекущих к нарушению противопожарных требований, техническое обслуживание и ремонт силовых и осветительных установок, внутридомовых электросетей, контроль состояния и восстановление исправности элементов внутренней канализации, канализационных вытяжек, внутреннего водостока, проверка автоматических регуляторов и устройств,  проверка работоспособности и обслуживание устройства водоподготовки для системы горячего водоснабжения, проверка исправности и работоспособности оборудования тепловых пунктов и водоподкачек в многоквартирных домах,  консервация и раконсервация системы отопления, промывка централизованных систем теплоснабжения для удаления накипно-коррозионных отложений,  удаление воздуха из системы отопления.</t>
  </si>
  <si>
    <t xml:space="preserve">5. Уборка мусора с придомовой территории </t>
  </si>
  <si>
    <t>1 раз(а) в 2 недели</t>
  </si>
  <si>
    <t>2 раз(а) в неделю</t>
  </si>
  <si>
    <t>2 раз(а) в год</t>
  </si>
  <si>
    <t>проверка исправности вытяжек 1 раз(а) в год. Проверка наличия тяги в дымовентиляционных каналах  2 раз(а) в год. Проверка заземления оболочки электрокабеля, замеры сопротивления 4 раз(а) в год. Регулировка систем отопления 2 раза в год. Консервация и расконсервация системы отопления 1 раз в год. Прочиска канализационных лежаков 2 раза в год.</t>
  </si>
  <si>
    <t>по мере необходимости в течение года</t>
  </si>
  <si>
    <t>деревянный благоустроенный дом с центр отоплением</t>
  </si>
  <si>
    <t>16. Проверка исправности, работоспособности, регулировка и техническое обслуживание насосов, запорной арматуры,  промывка систем водоснабжения для удаления накипно-коррозионных отложений, промывка централизованных систем теплоснабжения для удаления накипно-коррозионных отложений,  обслуживание и ремонт бойлерных, удаление воздуха из системы отопления, смена отдельных участков трубопроводов по необходимости.
Заделка щелей в печах, оштукатуривание, прочистка дымохода.</t>
  </si>
  <si>
    <t>3 раз(а) в неделю контейнера (6 раз в год - помойницы)</t>
  </si>
  <si>
    <t xml:space="preserve">Стоимость на 1 кв. м. общей площади (руб./мес.)         (размер платы в месяц на 1 кв. м.)  </t>
  </si>
  <si>
    <t>20. Дератизация</t>
  </si>
  <si>
    <t>21. Дезинсекция</t>
  </si>
  <si>
    <t>Лот № 1</t>
  </si>
  <si>
    <t>40</t>
  </si>
  <si>
    <t>8</t>
  </si>
  <si>
    <t>19</t>
  </si>
  <si>
    <t>9</t>
  </si>
  <si>
    <t>10</t>
  </si>
  <si>
    <t>17</t>
  </si>
  <si>
    <t>61</t>
  </si>
  <si>
    <t>деревянный благоустроенный без центр отопления</t>
  </si>
  <si>
    <t>МВК    деревянный благоустроенный без центр отопления</t>
  </si>
  <si>
    <t>к извещению и конкурсной документации</t>
  </si>
  <si>
    <t>Г. СУФТИНА ул.</t>
  </si>
  <si>
    <t>НОВГОРОДСКИЙ пр.</t>
  </si>
  <si>
    <t>СОВЕТСКИХ КОСМОНАВТОВ пр.</t>
  </si>
  <si>
    <t>713,9</t>
  </si>
  <si>
    <t>440,6</t>
  </si>
  <si>
    <t>407,3</t>
  </si>
  <si>
    <t>Приложение № 2</t>
  </si>
  <si>
    <t>Жилой район Ломоносовский  териториальный  округ</t>
  </si>
  <si>
    <t>ВЫУЧЕЙСКОГО ул.</t>
  </si>
  <si>
    <t>КОММУНАЛЬНАЯ ул.</t>
  </si>
  <si>
    <t>РОЗЫ ЛЮКСЕМБУРГ ул.</t>
  </si>
  <si>
    <t>СУФТИНА, 1-й прз.</t>
  </si>
  <si>
    <t>УРИЦКОГО ул.</t>
  </si>
  <si>
    <t>ЧУМБАРОВА-ЛУЧИНСКОГО пр.</t>
  </si>
  <si>
    <t>72</t>
  </si>
  <si>
    <t>80</t>
  </si>
  <si>
    <t>29</t>
  </si>
  <si>
    <t>7, 1</t>
  </si>
  <si>
    <t>12, 2</t>
  </si>
  <si>
    <t>63</t>
  </si>
  <si>
    <t>33</t>
  </si>
  <si>
    <t>22</t>
  </si>
  <si>
    <t>507,6</t>
  </si>
  <si>
    <t>518,2</t>
  </si>
  <si>
    <t>604,1</t>
  </si>
  <si>
    <t>513,8</t>
  </si>
  <si>
    <t>619,1</t>
  </si>
  <si>
    <t>562</t>
  </si>
  <si>
    <t>613,4</t>
  </si>
  <si>
    <t>244,1</t>
  </si>
  <si>
    <t>865</t>
  </si>
  <si>
    <t>521,2</t>
  </si>
  <si>
    <t>496,4</t>
  </si>
  <si>
    <t>322,5</t>
  </si>
  <si>
    <t>504,3</t>
  </si>
  <si>
    <t>661</t>
  </si>
  <si>
    <t>ВОДНИКОВ пер.</t>
  </si>
  <si>
    <t>КРАСНОАРМЕЙСКАЯ ул.</t>
  </si>
  <si>
    <t>ПАВЛА УСОВА ул.</t>
  </si>
  <si>
    <t>68</t>
  </si>
  <si>
    <t>46, 1</t>
  </si>
  <si>
    <t>52</t>
  </si>
  <si>
    <t>34</t>
  </si>
  <si>
    <t>42</t>
  </si>
  <si>
    <t>461,1</t>
  </si>
  <si>
    <t>486,1</t>
  </si>
  <si>
    <t>770,9</t>
  </si>
  <si>
    <t>405,7</t>
  </si>
  <si>
    <t>395,4</t>
  </si>
  <si>
    <t>565,3</t>
  </si>
  <si>
    <t>433,9</t>
  </si>
  <si>
    <t>571,3</t>
  </si>
  <si>
    <t>451,3</t>
  </si>
  <si>
    <t>337,6</t>
  </si>
  <si>
    <t>566,8</t>
  </si>
  <si>
    <t>41</t>
  </si>
  <si>
    <t>518,5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</si>
</sst>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 Cyr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  <charset val="204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Calibri"/>
      <family val="2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91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0" fontId="3" fillId="2" borderId="0" xfId="0" applyFont="1" applyFill="1" applyAlignment="1"/>
    <xf numFmtId="0" fontId="2" fillId="2" borderId="0" xfId="0" applyFont="1" applyFill="1" applyAlignment="1"/>
    <xf numFmtId="4" fontId="2" fillId="2" borderId="0" xfId="0" applyNumberFormat="1" applyFont="1" applyFill="1" applyAlignment="1">
      <alignment horizontal="right"/>
    </xf>
    <xf numFmtId="0" fontId="2" fillId="2" borderId="0" xfId="0" applyFont="1" applyFill="1" applyBorder="1" applyAlignment="1"/>
    <xf numFmtId="4" fontId="2" fillId="2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center"/>
    </xf>
    <xf numFmtId="4" fontId="9" fillId="2" borderId="1" xfId="0" applyNumberFormat="1" applyFont="1" applyFill="1" applyBorder="1" applyAlignment="1">
      <alignment horizontal="center"/>
    </xf>
    <xf numFmtId="4" fontId="8" fillId="2" borderId="1" xfId="0" applyNumberFormat="1" applyFont="1" applyFill="1" applyBorder="1" applyAlignment="1">
      <alignment horizontal="center" vertical="top"/>
    </xf>
    <xf numFmtId="4" fontId="8" fillId="2" borderId="1" xfId="0" applyNumberFormat="1" applyFont="1" applyFill="1" applyBorder="1" applyAlignment="1">
      <alignment horizontal="center"/>
    </xf>
    <xf numFmtId="4" fontId="8" fillId="2" borderId="1" xfId="0" applyNumberFormat="1" applyFont="1" applyFill="1" applyBorder="1" applyAlignment="1">
      <alignment horizontal="center" vertical="top" wrapText="1"/>
    </xf>
    <xf numFmtId="4" fontId="8" fillId="2" borderId="1" xfId="0" applyNumberFormat="1" applyFont="1" applyFill="1" applyBorder="1" applyAlignment="1">
      <alignment horizontal="center" wrapText="1"/>
    </xf>
    <xf numFmtId="4" fontId="9" fillId="2" borderId="1" xfId="0" applyNumberFormat="1" applyFont="1" applyFill="1" applyBorder="1" applyAlignment="1">
      <alignment horizontal="center" vertical="top"/>
    </xf>
    <xf numFmtId="4" fontId="8" fillId="2" borderId="5" xfId="0" applyNumberFormat="1" applyFont="1" applyFill="1" applyBorder="1" applyAlignment="1">
      <alignment horizontal="center" vertical="top"/>
    </xf>
    <xf numFmtId="4" fontId="9" fillId="2" borderId="5" xfId="0" applyNumberFormat="1" applyFont="1" applyFill="1" applyBorder="1" applyAlignment="1">
      <alignment horizontal="center"/>
    </xf>
    <xf numFmtId="4" fontId="9" fillId="2" borderId="15" xfId="0" applyNumberFormat="1" applyFont="1" applyFill="1" applyBorder="1" applyAlignment="1">
      <alignment horizontal="left" vertical="top"/>
    </xf>
    <xf numFmtId="4" fontId="9" fillId="2" borderId="15" xfId="0" applyNumberFormat="1" applyFont="1" applyFill="1" applyBorder="1" applyAlignment="1">
      <alignment horizontal="center" vertical="center"/>
    </xf>
    <xf numFmtId="4" fontId="7" fillId="2" borderId="5" xfId="0" applyNumberFormat="1" applyFont="1" applyFill="1" applyBorder="1" applyAlignment="1">
      <alignment horizontal="center" vertical="center"/>
    </xf>
    <xf numFmtId="4" fontId="9" fillId="2" borderId="5" xfId="0" applyNumberFormat="1" applyFont="1" applyFill="1" applyBorder="1" applyAlignment="1">
      <alignment horizontal="center" vertical="center"/>
    </xf>
    <xf numFmtId="0" fontId="2" fillId="0" borderId="0" xfId="0" applyFont="1" applyBorder="1" applyAlignment="1"/>
    <xf numFmtId="4" fontId="4" fillId="2" borderId="0" xfId="0" applyNumberFormat="1" applyFont="1" applyFill="1" applyAlignment="1">
      <alignment horizontal="right"/>
    </xf>
    <xf numFmtId="4" fontId="4" fillId="2" borderId="0" xfId="0" applyNumberFormat="1" applyFont="1" applyFill="1" applyAlignment="1">
      <alignment horizontal="left"/>
    </xf>
    <xf numFmtId="4" fontId="7" fillId="0" borderId="1" xfId="0" applyNumberFormat="1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center"/>
    </xf>
    <xf numFmtId="4" fontId="7" fillId="0" borderId="1" xfId="0" applyNumberFormat="1" applyFont="1" applyFill="1" applyBorder="1" applyAlignment="1">
      <alignment horizontal="center" vertical="top"/>
    </xf>
    <xf numFmtId="4" fontId="7" fillId="0" borderId="5" xfId="0" applyNumberFormat="1" applyFont="1" applyFill="1" applyBorder="1" applyAlignment="1">
      <alignment horizontal="center"/>
    </xf>
    <xf numFmtId="4" fontId="7" fillId="2" borderId="1" xfId="0" applyNumberFormat="1" applyFont="1" applyFill="1" applyBorder="1" applyAlignment="1">
      <alignment horizontal="center"/>
    </xf>
    <xf numFmtId="4" fontId="7" fillId="0" borderId="5" xfId="0" applyNumberFormat="1" applyFont="1" applyFill="1" applyBorder="1" applyAlignment="1">
      <alignment horizontal="center" vertical="center"/>
    </xf>
    <xf numFmtId="4" fontId="7" fillId="0" borderId="15" xfId="0" applyNumberFormat="1" applyFont="1" applyFill="1" applyBorder="1" applyAlignment="1">
      <alignment horizontal="center" vertical="top"/>
    </xf>
    <xf numFmtId="4" fontId="4" fillId="2" borderId="5" xfId="0" applyNumberFormat="1" applyFont="1" applyFill="1" applyBorder="1" applyAlignment="1">
      <alignment horizontal="center" vertical="top"/>
    </xf>
    <xf numFmtId="4" fontId="9" fillId="2" borderId="17" xfId="0" applyNumberFormat="1" applyFont="1" applyFill="1" applyBorder="1" applyAlignment="1">
      <alignment horizontal="left" vertical="top"/>
    </xf>
    <xf numFmtId="4" fontId="9" fillId="2" borderId="17" xfId="0" applyNumberFormat="1" applyFont="1" applyFill="1" applyBorder="1" applyAlignment="1">
      <alignment horizontal="center" vertical="center"/>
    </xf>
    <xf numFmtId="4" fontId="9" fillId="2" borderId="17" xfId="0" applyNumberFormat="1" applyFont="1" applyFill="1" applyBorder="1" applyAlignment="1">
      <alignment horizontal="center" vertical="top"/>
    </xf>
    <xf numFmtId="4" fontId="7" fillId="0" borderId="17" xfId="0" applyNumberFormat="1" applyFont="1" applyFill="1" applyBorder="1" applyAlignment="1">
      <alignment horizontal="left" vertical="top"/>
    </xf>
    <xf numFmtId="4" fontId="7" fillId="2" borderId="5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4" fontId="7" fillId="2" borderId="1" xfId="0" applyNumberFormat="1" applyFont="1" applyFill="1" applyBorder="1" applyAlignment="1">
      <alignment horizontal="center" vertical="top"/>
    </xf>
    <xf numFmtId="4" fontId="7" fillId="2" borderId="15" xfId="0" applyNumberFormat="1" applyFont="1" applyFill="1" applyBorder="1" applyAlignment="1">
      <alignment horizontal="center" vertical="top"/>
    </xf>
    <xf numFmtId="0" fontId="10" fillId="0" borderId="0" xfId="0" applyNumberFormat="1" applyFont="1" applyAlignment="1"/>
    <xf numFmtId="0" fontId="6" fillId="0" borderId="0" xfId="0" applyFont="1" applyAlignment="1">
      <alignment horizontal="right"/>
    </xf>
    <xf numFmtId="0" fontId="11" fillId="0" borderId="0" xfId="0" applyNumberFormat="1" applyFont="1" applyAlignment="1"/>
    <xf numFmtId="4" fontId="7" fillId="2" borderId="21" xfId="0" applyNumberFormat="1" applyFont="1" applyFill="1" applyBorder="1" applyAlignment="1">
      <alignment vertical="center"/>
    </xf>
    <xf numFmtId="0" fontId="6" fillId="0" borderId="0" xfId="0" applyFont="1"/>
    <xf numFmtId="4" fontId="2" fillId="0" borderId="0" xfId="0" applyNumberFormat="1" applyFont="1" applyAlignment="1"/>
    <xf numFmtId="0" fontId="12" fillId="0" borderId="0" xfId="0" applyFont="1"/>
    <xf numFmtId="4" fontId="7" fillId="2" borderId="0" xfId="0" applyNumberFormat="1" applyFont="1" applyFill="1" applyBorder="1" applyAlignment="1">
      <alignment horizontal="center" vertical="center"/>
    </xf>
    <xf numFmtId="4" fontId="7" fillId="2" borderId="17" xfId="0" applyNumberFormat="1" applyFont="1" applyFill="1" applyBorder="1" applyAlignment="1">
      <alignment horizontal="left" vertical="top"/>
    </xf>
    <xf numFmtId="49" fontId="14" fillId="2" borderId="22" xfId="2" applyNumberFormat="1" applyFont="1" applyFill="1" applyBorder="1" applyAlignment="1">
      <alignment horizontal="left" wrapText="1"/>
    </xf>
    <xf numFmtId="49" fontId="15" fillId="2" borderId="22" xfId="0" applyNumberFormat="1" applyFont="1" applyFill="1" applyBorder="1" applyAlignment="1">
      <alignment horizontal="left" wrapText="1"/>
    </xf>
    <xf numFmtId="49" fontId="15" fillId="2" borderId="19" xfId="0" applyNumberFormat="1" applyFont="1" applyFill="1" applyBorder="1" applyAlignment="1">
      <alignment horizontal="left" wrapText="1"/>
    </xf>
    <xf numFmtId="49" fontId="15" fillId="2" borderId="23" xfId="0" applyNumberFormat="1" applyFont="1" applyFill="1" applyBorder="1" applyAlignment="1">
      <alignment horizontal="left" wrapText="1"/>
    </xf>
    <xf numFmtId="49" fontId="15" fillId="2" borderId="24" xfId="0" applyNumberFormat="1" applyFont="1" applyFill="1" applyBorder="1" applyAlignment="1">
      <alignment horizontal="left" wrapText="1"/>
    </xf>
    <xf numFmtId="49" fontId="15" fillId="2" borderId="25" xfId="0" applyNumberFormat="1" applyFont="1" applyFill="1" applyBorder="1" applyAlignment="1">
      <alignment horizontal="left" wrapText="1"/>
    </xf>
    <xf numFmtId="49" fontId="15" fillId="2" borderId="26" xfId="0" applyNumberFormat="1" applyFont="1" applyFill="1" applyBorder="1" applyAlignment="1">
      <alignment horizontal="left" wrapText="1"/>
    </xf>
    <xf numFmtId="49" fontId="15" fillId="2" borderId="27" xfId="0" applyNumberFormat="1" applyFont="1" applyFill="1" applyBorder="1" applyAlignment="1">
      <alignment horizontal="left" wrapText="1"/>
    </xf>
    <xf numFmtId="49" fontId="15" fillId="2" borderId="28" xfId="0" applyNumberFormat="1" applyFont="1" applyFill="1" applyBorder="1" applyAlignment="1">
      <alignment horizontal="left" wrapText="1"/>
    </xf>
    <xf numFmtId="49" fontId="15" fillId="2" borderId="29" xfId="0" applyNumberFormat="1" applyFont="1" applyFill="1" applyBorder="1" applyAlignment="1">
      <alignment horizontal="left" wrapText="1"/>
    </xf>
    <xf numFmtId="4" fontId="7" fillId="2" borderId="20" xfId="0" applyNumberFormat="1" applyFont="1" applyFill="1" applyBorder="1" applyAlignment="1">
      <alignment horizontal="center" vertical="center"/>
    </xf>
    <xf numFmtId="4" fontId="7" fillId="2" borderId="21" xfId="0" applyNumberFormat="1" applyFont="1" applyFill="1" applyBorder="1" applyAlignment="1">
      <alignment horizontal="center" vertical="center"/>
    </xf>
    <xf numFmtId="4" fontId="8" fillId="2" borderId="18" xfId="0" applyNumberFormat="1" applyFont="1" applyFill="1" applyBorder="1" applyAlignment="1">
      <alignment horizontal="center" vertical="center" wrapText="1"/>
    </xf>
    <xf numFmtId="4" fontId="7" fillId="2" borderId="12" xfId="0" applyNumberFormat="1" applyFont="1" applyFill="1" applyBorder="1" applyAlignment="1">
      <alignment horizontal="center" vertical="center"/>
    </xf>
    <xf numFmtId="4" fontId="7" fillId="2" borderId="13" xfId="0" applyNumberFormat="1" applyFont="1" applyFill="1" applyBorder="1" applyAlignment="1">
      <alignment horizontal="center" vertical="center"/>
    </xf>
    <xf numFmtId="4" fontId="7" fillId="2" borderId="14" xfId="0" applyNumberFormat="1" applyFont="1" applyFill="1" applyBorder="1" applyAlignment="1">
      <alignment horizontal="center" vertical="center"/>
    </xf>
    <xf numFmtId="4" fontId="7" fillId="2" borderId="0" xfId="0" applyNumberFormat="1" applyFont="1" applyFill="1" applyBorder="1" applyAlignment="1">
      <alignment horizontal="center" vertical="center"/>
    </xf>
    <xf numFmtId="4" fontId="4" fillId="2" borderId="18" xfId="0" applyNumberFormat="1" applyFont="1" applyFill="1" applyBorder="1" applyAlignment="1">
      <alignment horizontal="center" vertical="center" wrapText="1"/>
    </xf>
    <xf numFmtId="4" fontId="8" fillId="2" borderId="19" xfId="0" applyNumberFormat="1" applyFont="1" applyFill="1" applyBorder="1" applyAlignment="1">
      <alignment horizontal="center" vertical="center" wrapText="1"/>
    </xf>
    <xf numFmtId="4" fontId="8" fillId="2" borderId="16" xfId="0" applyNumberFormat="1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left" vertical="top"/>
    </xf>
    <xf numFmtId="4" fontId="7" fillId="2" borderId="7" xfId="0" applyNumberFormat="1" applyFont="1" applyFill="1" applyBorder="1" applyAlignment="1">
      <alignment horizontal="left" vertical="top"/>
    </xf>
    <xf numFmtId="4" fontId="7" fillId="2" borderId="8" xfId="0" applyNumberFormat="1" applyFont="1" applyFill="1" applyBorder="1" applyAlignment="1">
      <alignment horizontal="left" vertical="top"/>
    </xf>
    <xf numFmtId="4" fontId="4" fillId="2" borderId="1" xfId="0" applyNumberFormat="1" applyFont="1" applyFill="1" applyBorder="1" applyAlignment="1">
      <alignment horizontal="left" vertical="top"/>
    </xf>
    <xf numFmtId="4" fontId="7" fillId="2" borderId="3" xfId="0" applyNumberFormat="1" applyFont="1" applyFill="1" applyBorder="1" applyAlignment="1">
      <alignment horizontal="center" vertical="top" wrapText="1"/>
    </xf>
    <xf numFmtId="4" fontId="7" fillId="2" borderId="2" xfId="0" applyNumberFormat="1" applyFont="1" applyFill="1" applyBorder="1" applyAlignment="1">
      <alignment horizontal="center" vertical="top" wrapText="1"/>
    </xf>
    <xf numFmtId="4" fontId="7" fillId="2" borderId="4" xfId="0" applyNumberFormat="1" applyFont="1" applyFill="1" applyBorder="1" applyAlignment="1">
      <alignment horizontal="center" vertical="top" wrapText="1"/>
    </xf>
    <xf numFmtId="4" fontId="4" fillId="2" borderId="1" xfId="0" applyNumberFormat="1" applyFont="1" applyFill="1" applyBorder="1" applyAlignment="1">
      <alignment horizontal="left" vertical="top" wrapText="1"/>
    </xf>
    <xf numFmtId="4" fontId="4" fillId="2" borderId="3" xfId="0" applyNumberFormat="1" applyFont="1" applyFill="1" applyBorder="1" applyAlignment="1">
      <alignment horizontal="left" vertical="top" wrapText="1"/>
    </xf>
    <xf numFmtId="4" fontId="4" fillId="2" borderId="2" xfId="0" applyNumberFormat="1" applyFont="1" applyFill="1" applyBorder="1" applyAlignment="1">
      <alignment horizontal="left" vertical="top" wrapText="1"/>
    </xf>
    <xf numFmtId="4" fontId="4" fillId="2" borderId="4" xfId="0" applyNumberFormat="1" applyFont="1" applyFill="1" applyBorder="1" applyAlignment="1">
      <alignment horizontal="left" vertical="top" wrapText="1"/>
    </xf>
    <xf numFmtId="4" fontId="7" fillId="2" borderId="9" xfId="0" applyNumberFormat="1" applyFont="1" applyFill="1" applyBorder="1" applyAlignment="1">
      <alignment horizontal="left" vertical="center" wrapText="1"/>
    </xf>
    <xf numFmtId="4" fontId="7" fillId="2" borderId="10" xfId="0" applyNumberFormat="1" applyFont="1" applyFill="1" applyBorder="1" applyAlignment="1">
      <alignment horizontal="left" vertical="center" wrapText="1"/>
    </xf>
    <xf numFmtId="4" fontId="7" fillId="2" borderId="11" xfId="0" applyNumberFormat="1" applyFont="1" applyFill="1" applyBorder="1" applyAlignment="1">
      <alignment horizontal="left" vertical="center" wrapText="1"/>
    </xf>
    <xf numFmtId="4" fontId="7" fillId="2" borderId="3" xfId="0" applyNumberFormat="1" applyFont="1" applyFill="1" applyBorder="1" applyAlignment="1">
      <alignment horizontal="center" vertical="top"/>
    </xf>
    <xf numFmtId="4" fontId="7" fillId="2" borderId="2" xfId="0" applyNumberFormat="1" applyFont="1" applyFill="1" applyBorder="1" applyAlignment="1">
      <alignment horizontal="center" vertical="top"/>
    </xf>
    <xf numFmtId="4" fontId="7" fillId="2" borderId="4" xfId="0" applyNumberFormat="1" applyFont="1" applyFill="1" applyBorder="1" applyAlignment="1">
      <alignment horizontal="center" vertical="top"/>
    </xf>
    <xf numFmtId="4" fontId="7" fillId="2" borderId="17" xfId="0" applyNumberFormat="1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center"/>
    </xf>
    <xf numFmtId="4" fontId="7" fillId="2" borderId="9" xfId="0" applyNumberFormat="1" applyFont="1" applyFill="1" applyBorder="1" applyAlignment="1">
      <alignment horizontal="center" vertical="top"/>
    </xf>
    <xf numFmtId="4" fontId="7" fillId="2" borderId="10" xfId="0" applyNumberFormat="1" applyFont="1" applyFill="1" applyBorder="1" applyAlignment="1">
      <alignment horizontal="center" vertical="top"/>
    </xf>
    <xf numFmtId="4" fontId="7" fillId="2" borderId="11" xfId="0" applyNumberFormat="1" applyFont="1" applyFill="1" applyBorder="1" applyAlignment="1">
      <alignment horizontal="center" vertical="top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42"/>
  <sheetViews>
    <sheetView tabSelected="1" view="pageBreakPreview" zoomScale="90" zoomScaleNormal="100" zoomScaleSheetLayoutView="90" workbookViewId="0">
      <selection activeCell="AD1" sqref="AD1:AD1048576"/>
    </sheetView>
  </sheetViews>
  <sheetFormatPr defaultRowHeight="12.75" x14ac:dyDescent="0.2"/>
  <cols>
    <col min="1" max="1" width="9.140625" style="4" customWidth="1"/>
    <col min="2" max="5" width="9.140625" style="4"/>
    <col min="6" max="6" width="20.7109375" style="4" customWidth="1"/>
    <col min="7" max="7" width="19.5703125" style="4" customWidth="1"/>
    <col min="8" max="8" width="12.85546875" style="5" customWidth="1"/>
    <col min="9" max="9" width="11.7109375" style="5" customWidth="1"/>
    <col min="10" max="11" width="11.85546875" style="5" customWidth="1"/>
    <col min="12" max="12" width="10" style="7" customWidth="1"/>
    <col min="13" max="14" width="10.5703125" style="7" customWidth="1"/>
    <col min="15" max="15" width="12.5703125" style="7" customWidth="1"/>
    <col min="16" max="16" width="12.42578125" style="7" customWidth="1"/>
    <col min="17" max="17" width="12.28515625" style="7" customWidth="1"/>
    <col min="18" max="18" width="12.140625" style="7" customWidth="1"/>
    <col min="19" max="19" width="13" style="7" customWidth="1"/>
    <col min="20" max="20" width="9.140625" style="7" customWidth="1"/>
    <col min="21" max="21" width="10.42578125" style="7" customWidth="1"/>
    <col min="22" max="22" width="12.5703125" style="7" customWidth="1"/>
    <col min="23" max="23" width="12.42578125" style="7" customWidth="1"/>
    <col min="24" max="24" width="13.140625" style="7" customWidth="1"/>
    <col min="25" max="25" width="19.28515625" style="4" customWidth="1"/>
    <col min="26" max="26" width="15" style="4" customWidth="1"/>
    <col min="27" max="28" width="10.42578125" style="4" customWidth="1"/>
    <col min="29" max="29" width="10.7109375" style="4" customWidth="1"/>
    <col min="30" max="32" width="9.28515625" style="4" customWidth="1"/>
    <col min="33" max="35" width="13.42578125" style="4" customWidth="1"/>
    <col min="36" max="36" width="9.28515625" style="4" customWidth="1"/>
    <col min="37" max="37" width="9.85546875" style="4" customWidth="1"/>
    <col min="38" max="38" width="10.140625" style="4" customWidth="1"/>
    <col min="39" max="39" width="19.28515625" style="4" customWidth="1"/>
    <col min="40" max="40" width="13.7109375" style="7" customWidth="1"/>
    <col min="41" max="41" width="10.42578125" style="4" customWidth="1"/>
    <col min="43" max="43" width="13.28515625" customWidth="1"/>
    <col min="44" max="44" width="13.5703125" customWidth="1"/>
  </cols>
  <sheetData>
    <row r="1" spans="1:54" s="1" customFormat="1" ht="16.5" customHeight="1" x14ac:dyDescent="0.25">
      <c r="A1" s="87" t="s">
        <v>25</v>
      </c>
      <c r="B1" s="87"/>
      <c r="C1" s="87"/>
      <c r="D1" s="87"/>
      <c r="E1" s="87"/>
      <c r="F1" s="87"/>
      <c r="G1" s="87"/>
      <c r="H1" s="5"/>
      <c r="I1" s="40"/>
      <c r="J1" s="40"/>
      <c r="K1" s="41" t="s">
        <v>69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7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7"/>
      <c r="AN1" s="22"/>
      <c r="AO1" s="4"/>
    </row>
    <row r="2" spans="1:54" s="1" customFormat="1" ht="16.5" customHeight="1" x14ac:dyDescent="0.25">
      <c r="A2" s="87" t="s">
        <v>24</v>
      </c>
      <c r="B2" s="87"/>
      <c r="C2" s="87"/>
      <c r="D2" s="87"/>
      <c r="E2" s="87"/>
      <c r="F2" s="87"/>
      <c r="G2" s="87"/>
      <c r="H2" s="5"/>
      <c r="I2" s="42"/>
      <c r="J2" s="42"/>
      <c r="K2" s="41" t="s">
        <v>62</v>
      </c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7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7"/>
      <c r="AN2" s="23"/>
      <c r="AO2" s="4"/>
    </row>
    <row r="3" spans="1:54" s="1" customFormat="1" ht="16.5" customHeight="1" x14ac:dyDescent="0.25">
      <c r="A3" s="87" t="s">
        <v>23</v>
      </c>
      <c r="B3" s="87"/>
      <c r="C3" s="87"/>
      <c r="D3" s="87"/>
      <c r="E3" s="87"/>
      <c r="F3" s="87"/>
      <c r="G3" s="87"/>
      <c r="H3" s="5"/>
      <c r="I3" s="42"/>
      <c r="J3" s="42"/>
      <c r="K3" s="41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7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7"/>
      <c r="AN3" s="22"/>
      <c r="AO3" s="4"/>
    </row>
    <row r="4" spans="1:54" s="1" customFormat="1" ht="16.5" customHeight="1" x14ac:dyDescent="0.2">
      <c r="A4" s="87" t="s">
        <v>22</v>
      </c>
      <c r="B4" s="87"/>
      <c r="C4" s="87"/>
      <c r="D4" s="87"/>
      <c r="E4" s="87"/>
      <c r="F4" s="87"/>
      <c r="G4" s="87"/>
      <c r="H4" s="5"/>
      <c r="I4" s="5"/>
      <c r="J4" s="5"/>
      <c r="K4" s="5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7"/>
      <c r="AN4" s="7"/>
      <c r="AO4" s="4"/>
    </row>
    <row r="5" spans="1:54" s="1" customFormat="1" x14ac:dyDescent="0.2">
      <c r="A5" s="3" t="s">
        <v>52</v>
      </c>
      <c r="B5" s="3" t="s">
        <v>70</v>
      </c>
      <c r="C5" s="4"/>
      <c r="D5" s="4"/>
      <c r="E5" s="4"/>
      <c r="F5" s="4"/>
      <c r="G5" s="4"/>
      <c r="H5" s="5"/>
      <c r="I5" s="5"/>
      <c r="J5" s="5"/>
      <c r="K5" s="5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7"/>
      <c r="AO5" s="4"/>
    </row>
    <row r="6" spans="1:54" s="1" customFormat="1" ht="15.75" customHeight="1" x14ac:dyDescent="0.2">
      <c r="A6" s="62" t="s">
        <v>21</v>
      </c>
      <c r="B6" s="63"/>
      <c r="C6" s="63"/>
      <c r="D6" s="63"/>
      <c r="E6" s="63"/>
      <c r="F6" s="63"/>
      <c r="G6" s="59" t="s">
        <v>20</v>
      </c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59" t="s">
        <v>20</v>
      </c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43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</row>
    <row r="7" spans="1:54" s="8" customFormat="1" ht="56.25" customHeight="1" x14ac:dyDescent="0.2">
      <c r="A7" s="64"/>
      <c r="B7" s="65"/>
      <c r="C7" s="65"/>
      <c r="D7" s="65"/>
      <c r="E7" s="65"/>
      <c r="F7" s="65"/>
      <c r="G7" s="66" t="s">
        <v>19</v>
      </c>
      <c r="H7" s="61" t="s">
        <v>46</v>
      </c>
      <c r="I7" s="51" t="s">
        <v>71</v>
      </c>
      <c r="J7" s="51" t="s">
        <v>71</v>
      </c>
      <c r="K7" s="51" t="s">
        <v>71</v>
      </c>
      <c r="L7" s="51" t="s">
        <v>63</v>
      </c>
      <c r="M7" s="51" t="s">
        <v>72</v>
      </c>
      <c r="N7" s="51" t="s">
        <v>64</v>
      </c>
      <c r="O7" s="51" t="s">
        <v>73</v>
      </c>
      <c r="P7" s="51" t="s">
        <v>73</v>
      </c>
      <c r="Q7" s="51" t="s">
        <v>73</v>
      </c>
      <c r="R7" s="51" t="s">
        <v>73</v>
      </c>
      <c r="S7" s="51" t="s">
        <v>73</v>
      </c>
      <c r="T7" s="51" t="s">
        <v>74</v>
      </c>
      <c r="U7" s="51" t="s">
        <v>75</v>
      </c>
      <c r="V7" s="51" t="s">
        <v>76</v>
      </c>
      <c r="W7" s="51" t="s">
        <v>76</v>
      </c>
      <c r="X7" s="51" t="s">
        <v>76</v>
      </c>
      <c r="Y7" s="67" t="s">
        <v>19</v>
      </c>
      <c r="Z7" s="66" t="s">
        <v>60</v>
      </c>
      <c r="AA7" s="53" t="s">
        <v>99</v>
      </c>
      <c r="AB7" s="54" t="s">
        <v>71</v>
      </c>
      <c r="AC7" s="54" t="s">
        <v>100</v>
      </c>
      <c r="AD7" s="54" t="s">
        <v>101</v>
      </c>
      <c r="AE7" s="54" t="s">
        <v>101</v>
      </c>
      <c r="AF7" s="54" t="s">
        <v>101</v>
      </c>
      <c r="AG7" s="54" t="s">
        <v>73</v>
      </c>
      <c r="AH7" s="54" t="s">
        <v>73</v>
      </c>
      <c r="AI7" s="54" t="s">
        <v>65</v>
      </c>
      <c r="AJ7" s="54" t="s">
        <v>75</v>
      </c>
      <c r="AK7" s="54" t="s">
        <v>75</v>
      </c>
      <c r="AL7" s="55" t="s">
        <v>75</v>
      </c>
      <c r="AM7" s="67" t="s">
        <v>19</v>
      </c>
      <c r="AN7" s="66" t="s">
        <v>61</v>
      </c>
      <c r="AO7" s="53" t="s">
        <v>75</v>
      </c>
    </row>
    <row r="8" spans="1:54" s="8" customFormat="1" x14ac:dyDescent="0.2">
      <c r="A8" s="64"/>
      <c r="B8" s="65"/>
      <c r="C8" s="65"/>
      <c r="D8" s="65"/>
      <c r="E8" s="65"/>
      <c r="F8" s="65"/>
      <c r="G8" s="66"/>
      <c r="H8" s="61"/>
      <c r="I8" s="52" t="s">
        <v>59</v>
      </c>
      <c r="J8" s="52" t="s">
        <v>77</v>
      </c>
      <c r="K8" s="52" t="s">
        <v>78</v>
      </c>
      <c r="L8" s="52" t="s">
        <v>79</v>
      </c>
      <c r="M8" s="52" t="s">
        <v>80</v>
      </c>
      <c r="N8" s="52" t="s">
        <v>55</v>
      </c>
      <c r="O8" s="52" t="s">
        <v>54</v>
      </c>
      <c r="P8" s="52" t="s">
        <v>81</v>
      </c>
      <c r="Q8" s="52" t="s">
        <v>55</v>
      </c>
      <c r="R8" s="52" t="s">
        <v>59</v>
      </c>
      <c r="S8" s="52" t="s">
        <v>82</v>
      </c>
      <c r="T8" s="52" t="s">
        <v>54</v>
      </c>
      <c r="U8" s="52" t="s">
        <v>83</v>
      </c>
      <c r="V8" s="52" t="s">
        <v>57</v>
      </c>
      <c r="W8" s="52" t="s">
        <v>84</v>
      </c>
      <c r="X8" s="52" t="s">
        <v>53</v>
      </c>
      <c r="Y8" s="68"/>
      <c r="Z8" s="66"/>
      <c r="AA8" s="56" t="s">
        <v>54</v>
      </c>
      <c r="AB8" s="57" t="s">
        <v>102</v>
      </c>
      <c r="AC8" s="57" t="s">
        <v>58</v>
      </c>
      <c r="AD8" s="57" t="s">
        <v>56</v>
      </c>
      <c r="AE8" s="57" t="s">
        <v>58</v>
      </c>
      <c r="AF8" s="57" t="s">
        <v>55</v>
      </c>
      <c r="AG8" s="57" t="s">
        <v>103</v>
      </c>
      <c r="AH8" s="57" t="s">
        <v>104</v>
      </c>
      <c r="AI8" s="57" t="s">
        <v>105</v>
      </c>
      <c r="AJ8" s="57" t="s">
        <v>84</v>
      </c>
      <c r="AK8" s="57" t="s">
        <v>53</v>
      </c>
      <c r="AL8" s="58" t="s">
        <v>106</v>
      </c>
      <c r="AM8" s="68"/>
      <c r="AN8" s="66"/>
      <c r="AO8" s="56" t="s">
        <v>118</v>
      </c>
    </row>
    <row r="9" spans="1:54" s="1" customFormat="1" x14ac:dyDescent="0.2">
      <c r="A9" s="88" t="s">
        <v>18</v>
      </c>
      <c r="B9" s="89"/>
      <c r="C9" s="89"/>
      <c r="D9" s="89"/>
      <c r="E9" s="89"/>
      <c r="F9" s="90"/>
      <c r="G9" s="31"/>
      <c r="H9" s="16">
        <f t="shared" ref="H9" si="0">SUM(H10:H13)</f>
        <v>0</v>
      </c>
      <c r="I9" s="16">
        <f t="shared" ref="I9" si="1">SUM(I10:I13)</f>
        <v>0</v>
      </c>
      <c r="J9" s="16">
        <f t="shared" ref="J9:L9" si="2">SUM(J10:J13)</f>
        <v>0</v>
      </c>
      <c r="K9" s="16">
        <f t="shared" si="2"/>
        <v>0</v>
      </c>
      <c r="L9" s="16">
        <f t="shared" si="2"/>
        <v>0</v>
      </c>
      <c r="M9" s="16">
        <f t="shared" ref="M9:N9" si="3">SUM(M10:M13)</f>
        <v>0</v>
      </c>
      <c r="N9" s="16">
        <f t="shared" si="3"/>
        <v>0</v>
      </c>
      <c r="O9" s="16">
        <f t="shared" ref="O9:R9" si="4">SUM(O10:O13)</f>
        <v>0</v>
      </c>
      <c r="P9" s="16">
        <f t="shared" si="4"/>
        <v>0</v>
      </c>
      <c r="Q9" s="16">
        <f t="shared" si="4"/>
        <v>0</v>
      </c>
      <c r="R9" s="16">
        <f t="shared" si="4"/>
        <v>0</v>
      </c>
      <c r="S9" s="16">
        <f t="shared" ref="S9:X9" si="5">SUM(S10:S13)</f>
        <v>0</v>
      </c>
      <c r="T9" s="16">
        <f t="shared" si="5"/>
        <v>0</v>
      </c>
      <c r="U9" s="16">
        <f t="shared" si="5"/>
        <v>0</v>
      </c>
      <c r="V9" s="16">
        <f t="shared" si="5"/>
        <v>0</v>
      </c>
      <c r="W9" s="16">
        <f t="shared" si="5"/>
        <v>0</v>
      </c>
      <c r="X9" s="16">
        <f t="shared" si="5"/>
        <v>0</v>
      </c>
      <c r="Y9" s="15"/>
      <c r="Z9" s="27">
        <f t="shared" ref="Z9" si="6">SUM(Z10:Z13)</f>
        <v>0</v>
      </c>
      <c r="AA9" s="16">
        <v>0</v>
      </c>
      <c r="AB9" s="16">
        <v>0</v>
      </c>
      <c r="AC9" s="16">
        <v>0</v>
      </c>
      <c r="AD9" s="16">
        <v>0</v>
      </c>
      <c r="AE9" s="16">
        <v>0</v>
      </c>
      <c r="AF9" s="16">
        <v>0</v>
      </c>
      <c r="AG9" s="16">
        <v>0</v>
      </c>
      <c r="AH9" s="16">
        <v>0</v>
      </c>
      <c r="AI9" s="16">
        <v>0</v>
      </c>
      <c r="AJ9" s="16">
        <v>0</v>
      </c>
      <c r="AK9" s="16">
        <v>0</v>
      </c>
      <c r="AL9" s="16">
        <v>0</v>
      </c>
      <c r="AM9" s="15"/>
      <c r="AN9" s="36">
        <f t="shared" ref="AN9" si="7">SUM(AN10:AN13)</f>
        <v>0</v>
      </c>
      <c r="AO9" s="16">
        <v>0</v>
      </c>
    </row>
    <row r="10" spans="1:54" s="1" customFormat="1" x14ac:dyDescent="0.2">
      <c r="A10" s="72" t="s">
        <v>26</v>
      </c>
      <c r="B10" s="72"/>
      <c r="C10" s="72"/>
      <c r="D10" s="72"/>
      <c r="E10" s="72"/>
      <c r="F10" s="72"/>
      <c r="G10" s="11" t="s">
        <v>11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 t="s">
        <v>11</v>
      </c>
      <c r="Z10" s="25">
        <v>0</v>
      </c>
      <c r="AA10" s="11">
        <v>0</v>
      </c>
      <c r="AB10" s="11">
        <v>0</v>
      </c>
      <c r="AC10" s="11">
        <v>0</v>
      </c>
      <c r="AD10" s="11">
        <v>0</v>
      </c>
      <c r="AE10" s="11">
        <v>0</v>
      </c>
      <c r="AF10" s="11">
        <v>0</v>
      </c>
      <c r="AG10" s="11">
        <v>0</v>
      </c>
      <c r="AH10" s="11">
        <v>0</v>
      </c>
      <c r="AI10" s="11">
        <v>0</v>
      </c>
      <c r="AJ10" s="11">
        <v>0</v>
      </c>
      <c r="AK10" s="11">
        <v>0</v>
      </c>
      <c r="AL10" s="11">
        <v>0</v>
      </c>
      <c r="AM10" s="11" t="s">
        <v>11</v>
      </c>
      <c r="AN10" s="37">
        <v>0</v>
      </c>
      <c r="AO10" s="11">
        <v>0</v>
      </c>
    </row>
    <row r="11" spans="1:54" s="1" customFormat="1" x14ac:dyDescent="0.2">
      <c r="A11" s="72" t="s">
        <v>27</v>
      </c>
      <c r="B11" s="72"/>
      <c r="C11" s="72"/>
      <c r="D11" s="72"/>
      <c r="E11" s="72"/>
      <c r="F11" s="72"/>
      <c r="G11" s="11" t="s">
        <v>11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 t="s">
        <v>11</v>
      </c>
      <c r="Z11" s="25">
        <v>0</v>
      </c>
      <c r="AA11" s="11">
        <v>0</v>
      </c>
      <c r="AB11" s="11">
        <v>0</v>
      </c>
      <c r="AC11" s="11">
        <v>0</v>
      </c>
      <c r="AD11" s="11">
        <v>0</v>
      </c>
      <c r="AE11" s="11">
        <v>0</v>
      </c>
      <c r="AF11" s="11">
        <v>0</v>
      </c>
      <c r="AG11" s="11">
        <v>0</v>
      </c>
      <c r="AH11" s="11">
        <v>0</v>
      </c>
      <c r="AI11" s="11">
        <v>0</v>
      </c>
      <c r="AJ11" s="11">
        <v>0</v>
      </c>
      <c r="AK11" s="11">
        <v>0</v>
      </c>
      <c r="AL11" s="11">
        <v>0</v>
      </c>
      <c r="AM11" s="11" t="s">
        <v>11</v>
      </c>
      <c r="AN11" s="37">
        <v>0</v>
      </c>
      <c r="AO11" s="11">
        <v>0</v>
      </c>
    </row>
    <row r="12" spans="1:54" s="1" customFormat="1" x14ac:dyDescent="0.2">
      <c r="A12" s="72" t="s">
        <v>17</v>
      </c>
      <c r="B12" s="72"/>
      <c r="C12" s="72"/>
      <c r="D12" s="72"/>
      <c r="E12" s="72"/>
      <c r="F12" s="72"/>
      <c r="G12" s="11" t="s">
        <v>11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 t="s">
        <v>11</v>
      </c>
      <c r="Z12" s="25">
        <v>0</v>
      </c>
      <c r="AA12" s="11">
        <v>0</v>
      </c>
      <c r="AB12" s="11">
        <v>0</v>
      </c>
      <c r="AC12" s="11">
        <v>0</v>
      </c>
      <c r="AD12" s="11">
        <v>0</v>
      </c>
      <c r="AE12" s="11">
        <v>0</v>
      </c>
      <c r="AF12" s="11">
        <v>0</v>
      </c>
      <c r="AG12" s="11">
        <v>0</v>
      </c>
      <c r="AH12" s="11">
        <v>0</v>
      </c>
      <c r="AI12" s="11">
        <v>0</v>
      </c>
      <c r="AJ12" s="11">
        <v>0</v>
      </c>
      <c r="AK12" s="11">
        <v>0</v>
      </c>
      <c r="AL12" s="11">
        <v>0</v>
      </c>
      <c r="AM12" s="11" t="s">
        <v>11</v>
      </c>
      <c r="AN12" s="37">
        <v>0</v>
      </c>
      <c r="AO12" s="11">
        <v>0</v>
      </c>
    </row>
    <row r="13" spans="1:54" s="1" customFormat="1" x14ac:dyDescent="0.2">
      <c r="A13" s="72" t="s">
        <v>16</v>
      </c>
      <c r="B13" s="72"/>
      <c r="C13" s="72"/>
      <c r="D13" s="72"/>
      <c r="E13" s="72"/>
      <c r="F13" s="72"/>
      <c r="G13" s="11" t="s">
        <v>15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 t="s">
        <v>15</v>
      </c>
      <c r="Z13" s="25">
        <v>0</v>
      </c>
      <c r="AA13" s="11">
        <v>0</v>
      </c>
      <c r="AB13" s="11">
        <v>0</v>
      </c>
      <c r="AC13" s="11">
        <v>0</v>
      </c>
      <c r="AD13" s="11">
        <v>0</v>
      </c>
      <c r="AE13" s="11">
        <v>0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 t="s">
        <v>15</v>
      </c>
      <c r="AN13" s="37">
        <v>0</v>
      </c>
      <c r="AO13" s="11">
        <v>0</v>
      </c>
    </row>
    <row r="14" spans="1:54" s="1" customFormat="1" ht="23.85" customHeight="1" x14ac:dyDescent="0.2">
      <c r="A14" s="73" t="s">
        <v>14</v>
      </c>
      <c r="B14" s="74"/>
      <c r="C14" s="74"/>
      <c r="D14" s="74"/>
      <c r="E14" s="74"/>
      <c r="F14" s="75"/>
      <c r="G14" s="10"/>
      <c r="H14" s="9">
        <f t="shared" ref="H14" si="8">SUM(H15:H21)</f>
        <v>4.6500000000000004</v>
      </c>
      <c r="I14" s="9">
        <f t="shared" ref="I14:K14" si="9">SUM(I15:I21)</f>
        <v>28324.080000000002</v>
      </c>
      <c r="J14" s="9">
        <f t="shared" si="9"/>
        <v>28915.560000000005</v>
      </c>
      <c r="K14" s="9">
        <f t="shared" si="9"/>
        <v>33708.780000000006</v>
      </c>
      <c r="L14" s="9">
        <f t="shared" ref="L14:M14" si="10">SUM(L15:L21)</f>
        <v>28670.04</v>
      </c>
      <c r="M14" s="9">
        <f t="shared" si="10"/>
        <v>34545.780000000006</v>
      </c>
      <c r="N14" s="9">
        <f t="shared" ref="N14:Q14" si="11">SUM(N15:N21)</f>
        <v>31359.600000000006</v>
      </c>
      <c r="O14" s="9">
        <f t="shared" si="11"/>
        <v>34227.72</v>
      </c>
      <c r="P14" s="9">
        <f t="shared" si="11"/>
        <v>13620.779999999999</v>
      </c>
      <c r="Q14" s="9">
        <f t="shared" si="11"/>
        <v>48267</v>
      </c>
      <c r="R14" s="9">
        <f t="shared" ref="R14:X14" si="12">SUM(R15:R21)</f>
        <v>29082.959999999999</v>
      </c>
      <c r="S14" s="9">
        <f t="shared" si="12"/>
        <v>27699.120000000003</v>
      </c>
      <c r="T14" s="9">
        <f t="shared" si="12"/>
        <v>39835.619999999995</v>
      </c>
      <c r="U14" s="9">
        <f t="shared" si="12"/>
        <v>24585.480000000003</v>
      </c>
      <c r="V14" s="9">
        <f t="shared" si="12"/>
        <v>17995.5</v>
      </c>
      <c r="W14" s="9">
        <f t="shared" si="12"/>
        <v>28139.940000000002</v>
      </c>
      <c r="X14" s="9">
        <f t="shared" si="12"/>
        <v>36883.800000000003</v>
      </c>
      <c r="Y14" s="10"/>
      <c r="Z14" s="24">
        <f t="shared" ref="Z14" si="13">SUM(Z15:Z21)</f>
        <v>5.0999999999999996</v>
      </c>
      <c r="AA14" s="9">
        <f t="shared" ref="AA14" si="14">SUM(AA15:AA21)</f>
        <v>28219.32</v>
      </c>
      <c r="AB14" s="9">
        <f t="shared" ref="AB14:AC14" si="15">SUM(AB15:AB21)</f>
        <v>29749.32</v>
      </c>
      <c r="AC14" s="9">
        <f t="shared" si="15"/>
        <v>47179.08</v>
      </c>
      <c r="AD14" s="9">
        <f t="shared" ref="AD14:AG14" si="16">SUM(AD15:AD21)</f>
        <v>24926.760000000002</v>
      </c>
      <c r="AE14" s="9">
        <f t="shared" si="16"/>
        <v>24828.84</v>
      </c>
      <c r="AF14" s="9">
        <f t="shared" si="16"/>
        <v>24198.479999999996</v>
      </c>
      <c r="AG14" s="9">
        <f t="shared" si="16"/>
        <v>34596.36</v>
      </c>
      <c r="AH14" s="9">
        <f t="shared" ref="AH14:AL14" si="17">SUM(AH15:AH21)</f>
        <v>26554.68</v>
      </c>
      <c r="AI14" s="9">
        <f t="shared" si="17"/>
        <v>34963.56</v>
      </c>
      <c r="AJ14" s="9">
        <f t="shared" si="17"/>
        <v>27619.560000000005</v>
      </c>
      <c r="AK14" s="9">
        <f t="shared" si="17"/>
        <v>20661.120000000003</v>
      </c>
      <c r="AL14" s="9">
        <f t="shared" si="17"/>
        <v>34688.160000000003</v>
      </c>
      <c r="AM14" s="10"/>
      <c r="AN14" s="28">
        <f t="shared" ref="AN14:AO14" si="18">SUM(AN15:AN21)</f>
        <v>5.0999999999999996</v>
      </c>
      <c r="AO14" s="9">
        <f t="shared" si="18"/>
        <v>31732.2</v>
      </c>
    </row>
    <row r="15" spans="1:54" s="1" customFormat="1" x14ac:dyDescent="0.2">
      <c r="A15" s="72" t="s">
        <v>40</v>
      </c>
      <c r="B15" s="72"/>
      <c r="C15" s="72"/>
      <c r="D15" s="72"/>
      <c r="E15" s="72"/>
      <c r="F15" s="72"/>
      <c r="G15" s="11" t="s">
        <v>41</v>
      </c>
      <c r="H15" s="11">
        <v>1.08</v>
      </c>
      <c r="I15" s="11">
        <f>1.08*12*I35</f>
        <v>6578.496000000001</v>
      </c>
      <c r="J15" s="11">
        <f t="shared" ref="J15:K15" si="19">1.08*12*J35</f>
        <v>6715.8720000000012</v>
      </c>
      <c r="K15" s="11">
        <f t="shared" si="19"/>
        <v>7829.1360000000004</v>
      </c>
      <c r="L15" s="11">
        <f t="shared" ref="L15:X15" si="20">1.08*12*L35</f>
        <v>6658.848</v>
      </c>
      <c r="M15" s="11">
        <f t="shared" si="20"/>
        <v>8023.536000000001</v>
      </c>
      <c r="N15" s="11">
        <f t="shared" si="20"/>
        <v>7283.52</v>
      </c>
      <c r="O15" s="11">
        <f t="shared" si="20"/>
        <v>7949.6640000000007</v>
      </c>
      <c r="P15" s="11">
        <f t="shared" si="20"/>
        <v>3163.5360000000001</v>
      </c>
      <c r="Q15" s="11">
        <f t="shared" si="20"/>
        <v>11210.400000000001</v>
      </c>
      <c r="R15" s="11">
        <f t="shared" si="20"/>
        <v>6754.7520000000013</v>
      </c>
      <c r="S15" s="11">
        <f t="shared" si="20"/>
        <v>6433.3440000000001</v>
      </c>
      <c r="T15" s="11">
        <f t="shared" si="20"/>
        <v>9252.1440000000002</v>
      </c>
      <c r="U15" s="11">
        <f t="shared" si="20"/>
        <v>5710.1760000000004</v>
      </c>
      <c r="V15" s="11">
        <f t="shared" si="20"/>
        <v>4179.6000000000004</v>
      </c>
      <c r="W15" s="11">
        <f t="shared" si="20"/>
        <v>6535.728000000001</v>
      </c>
      <c r="X15" s="11">
        <f t="shared" si="20"/>
        <v>8566.5600000000013</v>
      </c>
      <c r="Y15" s="11" t="s">
        <v>41</v>
      </c>
      <c r="Z15" s="25">
        <v>1.04</v>
      </c>
      <c r="AA15" s="11">
        <f t="shared" ref="AA15:AL15" si="21">1.04*12*AA35</f>
        <v>5754.5280000000002</v>
      </c>
      <c r="AB15" s="11">
        <f t="shared" si="21"/>
        <v>6066.5280000000002</v>
      </c>
      <c r="AC15" s="11">
        <f t="shared" si="21"/>
        <v>9620.8320000000003</v>
      </c>
      <c r="AD15" s="11">
        <f t="shared" si="21"/>
        <v>5083.1040000000003</v>
      </c>
      <c r="AE15" s="11">
        <f t="shared" si="21"/>
        <v>5063.1360000000004</v>
      </c>
      <c r="AF15" s="11">
        <f t="shared" si="21"/>
        <v>4934.5919999999996</v>
      </c>
      <c r="AG15" s="11">
        <f t="shared" si="21"/>
        <v>7054.9439999999995</v>
      </c>
      <c r="AH15" s="11">
        <f t="shared" si="21"/>
        <v>5415.0720000000001</v>
      </c>
      <c r="AI15" s="11">
        <f t="shared" si="21"/>
        <v>7129.8239999999996</v>
      </c>
      <c r="AJ15" s="11">
        <f t="shared" si="21"/>
        <v>5632.2240000000002</v>
      </c>
      <c r="AK15" s="11">
        <f t="shared" si="21"/>
        <v>4213.2480000000005</v>
      </c>
      <c r="AL15" s="11">
        <f t="shared" si="21"/>
        <v>7073.6639999999998</v>
      </c>
      <c r="AM15" s="11" t="s">
        <v>41</v>
      </c>
      <c r="AN15" s="37">
        <v>1.04</v>
      </c>
      <c r="AO15" s="11">
        <f t="shared" ref="AO15" si="22">1.04*12*AO35</f>
        <v>6470.88</v>
      </c>
    </row>
    <row r="16" spans="1:54" s="1" customFormat="1" x14ac:dyDescent="0.2">
      <c r="A16" s="72" t="s">
        <v>31</v>
      </c>
      <c r="B16" s="72"/>
      <c r="C16" s="72"/>
      <c r="D16" s="72"/>
      <c r="E16" s="72"/>
      <c r="F16" s="72"/>
      <c r="G16" s="11" t="s">
        <v>13</v>
      </c>
      <c r="H16" s="11">
        <v>0.41</v>
      </c>
      <c r="I16" s="11">
        <f>0.41*12*I35</f>
        <v>2497.3920000000003</v>
      </c>
      <c r="J16" s="11">
        <f t="shared" ref="J16:K16" si="23">0.41*12*J35</f>
        <v>2549.5440000000003</v>
      </c>
      <c r="K16" s="11">
        <f t="shared" si="23"/>
        <v>2972.172</v>
      </c>
      <c r="L16" s="11">
        <f t="shared" ref="L16:X16" si="24">0.41*12*L35</f>
        <v>2527.8959999999997</v>
      </c>
      <c r="M16" s="11">
        <f t="shared" si="24"/>
        <v>3045.9720000000002</v>
      </c>
      <c r="N16" s="11">
        <f t="shared" si="24"/>
        <v>2765.04</v>
      </c>
      <c r="O16" s="11">
        <f t="shared" si="24"/>
        <v>3017.9279999999999</v>
      </c>
      <c r="P16" s="11">
        <f t="shared" si="24"/>
        <v>1200.972</v>
      </c>
      <c r="Q16" s="11">
        <f t="shared" si="24"/>
        <v>4255.8</v>
      </c>
      <c r="R16" s="11">
        <f t="shared" si="24"/>
        <v>2564.3040000000001</v>
      </c>
      <c r="S16" s="11">
        <f t="shared" si="24"/>
        <v>2442.288</v>
      </c>
      <c r="T16" s="11">
        <f t="shared" si="24"/>
        <v>3512.3879999999999</v>
      </c>
      <c r="U16" s="11">
        <f t="shared" si="24"/>
        <v>2167.752</v>
      </c>
      <c r="V16" s="11">
        <f t="shared" si="24"/>
        <v>1586.7</v>
      </c>
      <c r="W16" s="11">
        <f t="shared" si="24"/>
        <v>2481.1559999999999</v>
      </c>
      <c r="X16" s="11">
        <f t="shared" si="24"/>
        <v>3252.12</v>
      </c>
      <c r="Y16" s="11" t="s">
        <v>13</v>
      </c>
      <c r="Z16" s="25">
        <v>0.95</v>
      </c>
      <c r="AA16" s="11">
        <f t="shared" ref="AA16:AL16" si="25">0.95*12*AA35</f>
        <v>5256.54</v>
      </c>
      <c r="AB16" s="11">
        <f t="shared" si="25"/>
        <v>5541.54</v>
      </c>
      <c r="AC16" s="11">
        <f t="shared" si="25"/>
        <v>8788.2599999999984</v>
      </c>
      <c r="AD16" s="11">
        <f t="shared" si="25"/>
        <v>4643.2199999999993</v>
      </c>
      <c r="AE16" s="11">
        <f t="shared" si="25"/>
        <v>4624.9799999999996</v>
      </c>
      <c r="AF16" s="11">
        <f t="shared" si="25"/>
        <v>4507.5599999999995</v>
      </c>
      <c r="AG16" s="11">
        <f t="shared" si="25"/>
        <v>6444.4199999999983</v>
      </c>
      <c r="AH16" s="11">
        <f t="shared" si="25"/>
        <v>4946.4599999999991</v>
      </c>
      <c r="AI16" s="11">
        <f t="shared" si="25"/>
        <v>6512.8199999999988</v>
      </c>
      <c r="AJ16" s="11">
        <f t="shared" si="25"/>
        <v>5144.82</v>
      </c>
      <c r="AK16" s="11">
        <f t="shared" si="25"/>
        <v>3848.64</v>
      </c>
      <c r="AL16" s="11">
        <f t="shared" si="25"/>
        <v>6461.5199999999986</v>
      </c>
      <c r="AM16" s="11" t="s">
        <v>13</v>
      </c>
      <c r="AN16" s="37">
        <v>0.95</v>
      </c>
      <c r="AO16" s="11">
        <f t="shared" ref="AO16" si="26">0.95*12*AO35</f>
        <v>5910.9</v>
      </c>
    </row>
    <row r="17" spans="1:41" s="1" customFormat="1" x14ac:dyDescent="0.2">
      <c r="A17" s="72" t="s">
        <v>32</v>
      </c>
      <c r="B17" s="72"/>
      <c r="C17" s="72"/>
      <c r="D17" s="72"/>
      <c r="E17" s="72"/>
      <c r="F17" s="72"/>
      <c r="G17" s="11" t="s">
        <v>42</v>
      </c>
      <c r="H17" s="11">
        <v>0.32</v>
      </c>
      <c r="I17" s="11">
        <f>0.32*12*I35</f>
        <v>1949.184</v>
      </c>
      <c r="J17" s="11">
        <f t="shared" ref="J17:K17" si="27">0.32*12*J35</f>
        <v>1989.8880000000001</v>
      </c>
      <c r="K17" s="11">
        <f t="shared" si="27"/>
        <v>2319.7440000000001</v>
      </c>
      <c r="L17" s="11">
        <f t="shared" ref="L17:X17" si="28">0.32*12*L35</f>
        <v>1972.9919999999997</v>
      </c>
      <c r="M17" s="11">
        <f t="shared" si="28"/>
        <v>2377.3440000000001</v>
      </c>
      <c r="N17" s="11">
        <f t="shared" si="28"/>
        <v>2158.08</v>
      </c>
      <c r="O17" s="11">
        <f t="shared" si="28"/>
        <v>2355.4559999999997</v>
      </c>
      <c r="P17" s="11">
        <f t="shared" si="28"/>
        <v>937.34399999999994</v>
      </c>
      <c r="Q17" s="11">
        <f t="shared" si="28"/>
        <v>3321.6</v>
      </c>
      <c r="R17" s="11">
        <f t="shared" si="28"/>
        <v>2001.4080000000001</v>
      </c>
      <c r="S17" s="11">
        <f t="shared" si="28"/>
        <v>1906.1759999999999</v>
      </c>
      <c r="T17" s="11">
        <f t="shared" si="28"/>
        <v>2741.3759999999997</v>
      </c>
      <c r="U17" s="11">
        <f t="shared" si="28"/>
        <v>1691.904</v>
      </c>
      <c r="V17" s="11">
        <f t="shared" si="28"/>
        <v>1238.3999999999999</v>
      </c>
      <c r="W17" s="11">
        <f t="shared" si="28"/>
        <v>1936.5119999999999</v>
      </c>
      <c r="X17" s="11">
        <f t="shared" si="28"/>
        <v>2538.2399999999998</v>
      </c>
      <c r="Y17" s="11" t="s">
        <v>42</v>
      </c>
      <c r="Z17" s="25">
        <v>0.24</v>
      </c>
      <c r="AA17" s="11">
        <f t="shared" ref="AA17:AL17" si="29">0.24*12*AA35</f>
        <v>1327.9680000000001</v>
      </c>
      <c r="AB17" s="11">
        <f t="shared" si="29"/>
        <v>1399.9680000000001</v>
      </c>
      <c r="AC17" s="11">
        <f t="shared" si="29"/>
        <v>2220.192</v>
      </c>
      <c r="AD17" s="11">
        <f t="shared" si="29"/>
        <v>1173.0239999999999</v>
      </c>
      <c r="AE17" s="11">
        <f t="shared" si="29"/>
        <v>1168.4159999999999</v>
      </c>
      <c r="AF17" s="11">
        <f t="shared" si="29"/>
        <v>1138.752</v>
      </c>
      <c r="AG17" s="11">
        <f t="shared" si="29"/>
        <v>1628.0639999999999</v>
      </c>
      <c r="AH17" s="11">
        <f t="shared" si="29"/>
        <v>1249.6319999999998</v>
      </c>
      <c r="AI17" s="11">
        <f t="shared" si="29"/>
        <v>1645.3439999999998</v>
      </c>
      <c r="AJ17" s="11">
        <f t="shared" si="29"/>
        <v>1299.7439999999999</v>
      </c>
      <c r="AK17" s="11">
        <f t="shared" si="29"/>
        <v>972.28800000000001</v>
      </c>
      <c r="AL17" s="11">
        <f t="shared" si="29"/>
        <v>1632.3839999999998</v>
      </c>
      <c r="AM17" s="11" t="s">
        <v>42</v>
      </c>
      <c r="AN17" s="37">
        <v>0.24</v>
      </c>
      <c r="AO17" s="11">
        <f t="shared" ref="AO17" si="30">0.24*12*AO35</f>
        <v>1493.28</v>
      </c>
    </row>
    <row r="18" spans="1:41" s="1" customFormat="1" ht="57.75" customHeight="1" x14ac:dyDescent="0.2">
      <c r="A18" s="77" t="s">
        <v>33</v>
      </c>
      <c r="B18" s="78"/>
      <c r="C18" s="78"/>
      <c r="D18" s="78"/>
      <c r="E18" s="78"/>
      <c r="F18" s="79"/>
      <c r="G18" s="12" t="s">
        <v>12</v>
      </c>
      <c r="H18" s="11">
        <v>0.17</v>
      </c>
      <c r="I18" s="11">
        <f>0.17*12*I35</f>
        <v>1035.5040000000001</v>
      </c>
      <c r="J18" s="11">
        <f t="shared" ref="J18:K18" si="31">0.17*12*J35</f>
        <v>1057.1280000000002</v>
      </c>
      <c r="K18" s="11">
        <f t="shared" si="31"/>
        <v>1232.364</v>
      </c>
      <c r="L18" s="11">
        <f t="shared" ref="L18:X18" si="32">0.17*12*L35</f>
        <v>1048.1519999999998</v>
      </c>
      <c r="M18" s="11">
        <f t="shared" si="32"/>
        <v>1262.9640000000002</v>
      </c>
      <c r="N18" s="11">
        <f t="shared" si="32"/>
        <v>1146.48</v>
      </c>
      <c r="O18" s="11">
        <f t="shared" si="32"/>
        <v>1251.336</v>
      </c>
      <c r="P18" s="11">
        <f t="shared" si="32"/>
        <v>497.964</v>
      </c>
      <c r="Q18" s="11">
        <f t="shared" si="32"/>
        <v>1764.6000000000001</v>
      </c>
      <c r="R18" s="11">
        <f t="shared" si="32"/>
        <v>1063.248</v>
      </c>
      <c r="S18" s="11">
        <f t="shared" si="32"/>
        <v>1012.6559999999999</v>
      </c>
      <c r="T18" s="11">
        <f t="shared" si="32"/>
        <v>1456.356</v>
      </c>
      <c r="U18" s="11">
        <f t="shared" si="32"/>
        <v>898.82400000000007</v>
      </c>
      <c r="V18" s="11">
        <f t="shared" si="32"/>
        <v>657.9</v>
      </c>
      <c r="W18" s="11">
        <f t="shared" si="32"/>
        <v>1028.7719999999999</v>
      </c>
      <c r="X18" s="11">
        <f t="shared" si="32"/>
        <v>1348.44</v>
      </c>
      <c r="Y18" s="12" t="s">
        <v>12</v>
      </c>
      <c r="Z18" s="25">
        <v>0.2</v>
      </c>
      <c r="AA18" s="11">
        <f t="shared" ref="AA18:AL18" si="33">0.2*12*AA35</f>
        <v>1106.6400000000003</v>
      </c>
      <c r="AB18" s="11">
        <f t="shared" si="33"/>
        <v>1166.6400000000003</v>
      </c>
      <c r="AC18" s="11">
        <f t="shared" si="33"/>
        <v>1850.1600000000003</v>
      </c>
      <c r="AD18" s="11">
        <f t="shared" si="33"/>
        <v>977.52000000000021</v>
      </c>
      <c r="AE18" s="11">
        <f t="shared" si="33"/>
        <v>973.68000000000006</v>
      </c>
      <c r="AF18" s="11">
        <f t="shared" si="33"/>
        <v>948.96</v>
      </c>
      <c r="AG18" s="11">
        <f t="shared" si="33"/>
        <v>1356.72</v>
      </c>
      <c r="AH18" s="11">
        <f t="shared" si="33"/>
        <v>1041.3600000000001</v>
      </c>
      <c r="AI18" s="11">
        <f t="shared" si="33"/>
        <v>1371.1200000000001</v>
      </c>
      <c r="AJ18" s="11">
        <f t="shared" si="33"/>
        <v>1083.1200000000001</v>
      </c>
      <c r="AK18" s="11">
        <f t="shared" si="33"/>
        <v>810.24000000000012</v>
      </c>
      <c r="AL18" s="11">
        <f t="shared" si="33"/>
        <v>1360.3200000000002</v>
      </c>
      <c r="AM18" s="12" t="s">
        <v>12</v>
      </c>
      <c r="AN18" s="37">
        <v>0.2</v>
      </c>
      <c r="AO18" s="11">
        <f t="shared" ref="AO18" si="34">0.2*12*AO35</f>
        <v>1244.4000000000001</v>
      </c>
    </row>
    <row r="19" spans="1:41" s="1" customFormat="1" ht="23.25" customHeight="1" x14ac:dyDescent="0.2">
      <c r="A19" s="76" t="s">
        <v>34</v>
      </c>
      <c r="B19" s="72"/>
      <c r="C19" s="72"/>
      <c r="D19" s="72"/>
      <c r="E19" s="72"/>
      <c r="F19" s="72"/>
      <c r="G19" s="11" t="s">
        <v>43</v>
      </c>
      <c r="H19" s="11">
        <v>0.05</v>
      </c>
      <c r="I19" s="11">
        <f>0.05*12*I35</f>
        <v>304.56000000000006</v>
      </c>
      <c r="J19" s="11">
        <f t="shared" ref="J19:K19" si="35">0.05*12*J35</f>
        <v>310.92000000000007</v>
      </c>
      <c r="K19" s="11">
        <f t="shared" si="35"/>
        <v>362.46000000000009</v>
      </c>
      <c r="L19" s="11">
        <f t="shared" ref="L19:X19" si="36">0.05*12*L35</f>
        <v>308.28000000000003</v>
      </c>
      <c r="M19" s="11">
        <f t="shared" si="36"/>
        <v>371.46000000000009</v>
      </c>
      <c r="N19" s="11">
        <f t="shared" si="36"/>
        <v>337.20000000000005</v>
      </c>
      <c r="O19" s="11">
        <f t="shared" si="36"/>
        <v>368.04</v>
      </c>
      <c r="P19" s="11">
        <f t="shared" si="36"/>
        <v>146.46</v>
      </c>
      <c r="Q19" s="11">
        <f t="shared" si="36"/>
        <v>519.00000000000011</v>
      </c>
      <c r="R19" s="11">
        <f t="shared" si="36"/>
        <v>312.72000000000008</v>
      </c>
      <c r="S19" s="11">
        <f t="shared" si="36"/>
        <v>297.84000000000003</v>
      </c>
      <c r="T19" s="11">
        <f t="shared" si="36"/>
        <v>428.34000000000003</v>
      </c>
      <c r="U19" s="11">
        <f t="shared" si="36"/>
        <v>264.36000000000007</v>
      </c>
      <c r="V19" s="11">
        <f t="shared" si="36"/>
        <v>193.50000000000003</v>
      </c>
      <c r="W19" s="11">
        <f t="shared" si="36"/>
        <v>302.58000000000004</v>
      </c>
      <c r="X19" s="11">
        <f t="shared" si="36"/>
        <v>396.60000000000008</v>
      </c>
      <c r="Y19" s="11" t="s">
        <v>43</v>
      </c>
      <c r="Z19" s="25">
        <v>0.05</v>
      </c>
      <c r="AA19" s="11">
        <f t="shared" ref="AA19" si="37">0.05*12*AA35</f>
        <v>276.66000000000008</v>
      </c>
      <c r="AB19" s="11">
        <f t="shared" ref="AB19:AC19" si="38">0.05*12*AB35</f>
        <v>291.66000000000008</v>
      </c>
      <c r="AC19" s="11">
        <f t="shared" si="38"/>
        <v>462.54000000000008</v>
      </c>
      <c r="AD19" s="11">
        <f t="shared" ref="AD19:AG19" si="39">0.05*12*AD35</f>
        <v>244.38000000000005</v>
      </c>
      <c r="AE19" s="11">
        <f t="shared" si="39"/>
        <v>243.42000000000002</v>
      </c>
      <c r="AF19" s="11">
        <f t="shared" si="39"/>
        <v>237.24</v>
      </c>
      <c r="AG19" s="11">
        <f t="shared" si="39"/>
        <v>339.18</v>
      </c>
      <c r="AH19" s="11">
        <f t="shared" ref="AH19:AL19" si="40">0.05*12*AH35</f>
        <v>260.34000000000003</v>
      </c>
      <c r="AI19" s="11">
        <f t="shared" si="40"/>
        <v>342.78000000000003</v>
      </c>
      <c r="AJ19" s="11">
        <f t="shared" si="40"/>
        <v>270.78000000000003</v>
      </c>
      <c r="AK19" s="11">
        <f t="shared" si="40"/>
        <v>202.56000000000003</v>
      </c>
      <c r="AL19" s="11">
        <f t="shared" si="40"/>
        <v>340.08000000000004</v>
      </c>
      <c r="AM19" s="11" t="s">
        <v>43</v>
      </c>
      <c r="AN19" s="37">
        <v>0.05</v>
      </c>
      <c r="AO19" s="11">
        <f t="shared" ref="AO19" si="41">0.05*12*AO35</f>
        <v>311.10000000000002</v>
      </c>
    </row>
    <row r="20" spans="1:41" s="1" customFormat="1" ht="33.75" x14ac:dyDescent="0.2">
      <c r="A20" s="72" t="s">
        <v>35</v>
      </c>
      <c r="B20" s="72"/>
      <c r="C20" s="72"/>
      <c r="D20" s="72"/>
      <c r="E20" s="72"/>
      <c r="F20" s="72"/>
      <c r="G20" s="13" t="s">
        <v>48</v>
      </c>
      <c r="H20" s="11">
        <v>2.62</v>
      </c>
      <c r="I20" s="11">
        <f>2.62*12*I35</f>
        <v>15958.944000000001</v>
      </c>
      <c r="J20" s="11">
        <f t="shared" ref="J20:K20" si="42">2.62*12*J35</f>
        <v>16292.208000000002</v>
      </c>
      <c r="K20" s="11">
        <f t="shared" si="42"/>
        <v>18992.904000000002</v>
      </c>
      <c r="L20" s="11">
        <f t="shared" ref="L20:X20" si="43">2.62*12*L35</f>
        <v>16153.871999999999</v>
      </c>
      <c r="M20" s="11">
        <f t="shared" si="43"/>
        <v>19464.504000000001</v>
      </c>
      <c r="N20" s="11">
        <f t="shared" si="43"/>
        <v>17669.280000000002</v>
      </c>
      <c r="O20" s="11">
        <f t="shared" si="43"/>
        <v>19285.295999999998</v>
      </c>
      <c r="P20" s="11">
        <f t="shared" si="43"/>
        <v>7674.5039999999999</v>
      </c>
      <c r="Q20" s="11">
        <f t="shared" si="43"/>
        <v>27195.600000000002</v>
      </c>
      <c r="R20" s="11">
        <f t="shared" si="43"/>
        <v>16386.528000000002</v>
      </c>
      <c r="S20" s="11">
        <f t="shared" si="43"/>
        <v>15606.816000000001</v>
      </c>
      <c r="T20" s="11">
        <f t="shared" si="43"/>
        <v>22445.016</v>
      </c>
      <c r="U20" s="11">
        <f t="shared" si="43"/>
        <v>13852.464000000002</v>
      </c>
      <c r="V20" s="11">
        <f t="shared" si="43"/>
        <v>10139.4</v>
      </c>
      <c r="W20" s="11">
        <f t="shared" si="43"/>
        <v>15855.192000000001</v>
      </c>
      <c r="X20" s="11">
        <f t="shared" si="43"/>
        <v>20781.84</v>
      </c>
      <c r="Y20" s="13" t="s">
        <v>48</v>
      </c>
      <c r="Z20" s="25">
        <v>2.62</v>
      </c>
      <c r="AA20" s="11">
        <f t="shared" ref="AA20:AL20" si="44">2.62*12*AA35</f>
        <v>14496.984000000002</v>
      </c>
      <c r="AB20" s="11">
        <f t="shared" si="44"/>
        <v>15282.984000000002</v>
      </c>
      <c r="AC20" s="11">
        <f t="shared" si="44"/>
        <v>24237.096000000001</v>
      </c>
      <c r="AD20" s="11">
        <f t="shared" si="44"/>
        <v>12805.512000000001</v>
      </c>
      <c r="AE20" s="11">
        <f t="shared" si="44"/>
        <v>12755.208000000001</v>
      </c>
      <c r="AF20" s="11">
        <f t="shared" si="44"/>
        <v>12431.376</v>
      </c>
      <c r="AG20" s="11">
        <f t="shared" si="44"/>
        <v>17773.031999999999</v>
      </c>
      <c r="AH20" s="11">
        <f t="shared" si="44"/>
        <v>13641.816000000001</v>
      </c>
      <c r="AI20" s="11">
        <f t="shared" si="44"/>
        <v>17961.671999999999</v>
      </c>
      <c r="AJ20" s="11">
        <f t="shared" si="44"/>
        <v>14188.872000000001</v>
      </c>
      <c r="AK20" s="11">
        <f t="shared" si="44"/>
        <v>10614.144000000002</v>
      </c>
      <c r="AL20" s="11">
        <f t="shared" si="44"/>
        <v>17820.191999999999</v>
      </c>
      <c r="AM20" s="13" t="s">
        <v>48</v>
      </c>
      <c r="AN20" s="37">
        <v>2.62</v>
      </c>
      <c r="AO20" s="11">
        <f t="shared" ref="AO20" si="45">2.62*12*AO35</f>
        <v>16301.640000000001</v>
      </c>
    </row>
    <row r="21" spans="1:41" s="1" customFormat="1" x14ac:dyDescent="0.2">
      <c r="A21" s="72" t="s">
        <v>36</v>
      </c>
      <c r="B21" s="72"/>
      <c r="C21" s="72"/>
      <c r="D21" s="72"/>
      <c r="E21" s="72"/>
      <c r="F21" s="72"/>
      <c r="G21" s="11" t="s">
        <v>4</v>
      </c>
      <c r="H21" s="11">
        <v>0</v>
      </c>
      <c r="I21" s="11">
        <f>0*12*I35</f>
        <v>0</v>
      </c>
      <c r="J21" s="11">
        <f t="shared" ref="J21:K21" si="46">0*12*J35</f>
        <v>0</v>
      </c>
      <c r="K21" s="11">
        <f t="shared" si="46"/>
        <v>0</v>
      </c>
      <c r="L21" s="11">
        <f t="shared" ref="L21:X21" si="47">0*12*L35</f>
        <v>0</v>
      </c>
      <c r="M21" s="11">
        <f t="shared" si="47"/>
        <v>0</v>
      </c>
      <c r="N21" s="11">
        <f t="shared" si="47"/>
        <v>0</v>
      </c>
      <c r="O21" s="11">
        <f t="shared" si="47"/>
        <v>0</v>
      </c>
      <c r="P21" s="11">
        <f t="shared" si="47"/>
        <v>0</v>
      </c>
      <c r="Q21" s="11">
        <f t="shared" si="47"/>
        <v>0</v>
      </c>
      <c r="R21" s="11">
        <f t="shared" si="47"/>
        <v>0</v>
      </c>
      <c r="S21" s="11">
        <f t="shared" si="47"/>
        <v>0</v>
      </c>
      <c r="T21" s="11">
        <f t="shared" si="47"/>
        <v>0</v>
      </c>
      <c r="U21" s="11">
        <f t="shared" si="47"/>
        <v>0</v>
      </c>
      <c r="V21" s="11">
        <f t="shared" si="47"/>
        <v>0</v>
      </c>
      <c r="W21" s="11">
        <f t="shared" si="47"/>
        <v>0</v>
      </c>
      <c r="X21" s="11">
        <f t="shared" si="47"/>
        <v>0</v>
      </c>
      <c r="Y21" s="11" t="s">
        <v>4</v>
      </c>
      <c r="Z21" s="25">
        <v>0</v>
      </c>
      <c r="AA21" s="11">
        <f t="shared" ref="AA21:AL21" si="48">0*12*AA35</f>
        <v>0</v>
      </c>
      <c r="AB21" s="11">
        <f t="shared" si="48"/>
        <v>0</v>
      </c>
      <c r="AC21" s="11">
        <f t="shared" si="48"/>
        <v>0</v>
      </c>
      <c r="AD21" s="11">
        <f t="shared" si="48"/>
        <v>0</v>
      </c>
      <c r="AE21" s="11">
        <f t="shared" si="48"/>
        <v>0</v>
      </c>
      <c r="AF21" s="11">
        <f t="shared" si="48"/>
        <v>0</v>
      </c>
      <c r="AG21" s="11">
        <f t="shared" si="48"/>
        <v>0</v>
      </c>
      <c r="AH21" s="11">
        <f t="shared" si="48"/>
        <v>0</v>
      </c>
      <c r="AI21" s="11">
        <f t="shared" si="48"/>
        <v>0</v>
      </c>
      <c r="AJ21" s="11">
        <f t="shared" si="48"/>
        <v>0</v>
      </c>
      <c r="AK21" s="11">
        <f t="shared" si="48"/>
        <v>0</v>
      </c>
      <c r="AL21" s="11">
        <f t="shared" si="48"/>
        <v>0</v>
      </c>
      <c r="AM21" s="11" t="s">
        <v>4</v>
      </c>
      <c r="AN21" s="37">
        <v>0</v>
      </c>
      <c r="AO21" s="11">
        <f t="shared" ref="AO21" si="49">0*12*AO35</f>
        <v>0</v>
      </c>
    </row>
    <row r="22" spans="1:41" s="1" customFormat="1" ht="13.5" customHeight="1" x14ac:dyDescent="0.2">
      <c r="A22" s="73" t="s">
        <v>10</v>
      </c>
      <c r="B22" s="74"/>
      <c r="C22" s="74"/>
      <c r="D22" s="74"/>
      <c r="E22" s="74"/>
      <c r="F22" s="75"/>
      <c r="G22" s="10"/>
      <c r="H22" s="14">
        <f t="shared" ref="H22" si="50">SUM(H23:H27)</f>
        <v>1.94</v>
      </c>
      <c r="I22" s="14">
        <f t="shared" ref="I22:K22" si="51">SUM(I23:I27)</f>
        <v>11816.928</v>
      </c>
      <c r="J22" s="14">
        <f t="shared" si="51"/>
        <v>12063.696000000002</v>
      </c>
      <c r="K22" s="14">
        <f t="shared" si="51"/>
        <v>14063.448</v>
      </c>
      <c r="L22" s="14">
        <f t="shared" ref="L22:M22" si="52">SUM(L23:L27)</f>
        <v>11961.263999999999</v>
      </c>
      <c r="M22" s="14">
        <f t="shared" si="52"/>
        <v>14412.648000000001</v>
      </c>
      <c r="N22" s="14">
        <f t="shared" ref="N22:Q22" si="53">SUM(N23:N27)</f>
        <v>13083.36</v>
      </c>
      <c r="O22" s="14">
        <f t="shared" si="53"/>
        <v>14279.951999999999</v>
      </c>
      <c r="P22" s="14">
        <f t="shared" si="53"/>
        <v>5682.6480000000001</v>
      </c>
      <c r="Q22" s="14">
        <f t="shared" si="53"/>
        <v>20137.2</v>
      </c>
      <c r="R22" s="14">
        <f t="shared" ref="R22:X22" si="54">SUM(R23:R27)</f>
        <v>12133.536</v>
      </c>
      <c r="S22" s="14">
        <f t="shared" si="54"/>
        <v>11556.191999999999</v>
      </c>
      <c r="T22" s="14">
        <f t="shared" si="54"/>
        <v>16619.592000000001</v>
      </c>
      <c r="U22" s="14">
        <f t="shared" si="54"/>
        <v>10257.168000000001</v>
      </c>
      <c r="V22" s="14">
        <f t="shared" si="54"/>
        <v>7507.8</v>
      </c>
      <c r="W22" s="14">
        <f t="shared" si="54"/>
        <v>11740.104000000001</v>
      </c>
      <c r="X22" s="14">
        <f t="shared" si="54"/>
        <v>15388.080000000002</v>
      </c>
      <c r="Y22" s="10"/>
      <c r="Z22" s="26">
        <f t="shared" ref="Z22" si="55">SUM(Z23:Z27)</f>
        <v>5.2099999999999991</v>
      </c>
      <c r="AA22" s="14">
        <f t="shared" ref="AA22" si="56">SUM(AA23:AA27)</f>
        <v>28827.972000000002</v>
      </c>
      <c r="AB22" s="14">
        <f t="shared" ref="AB22:AC22" si="57">SUM(AB23:AB27)</f>
        <v>30390.972000000002</v>
      </c>
      <c r="AC22" s="14">
        <f t="shared" si="57"/>
        <v>48196.667999999991</v>
      </c>
      <c r="AD22" s="14">
        <f t="shared" ref="AD22:AG22" si="58">SUM(AD23:AD27)</f>
        <v>25464.395999999997</v>
      </c>
      <c r="AE22" s="14">
        <f t="shared" si="58"/>
        <v>25364.363999999998</v>
      </c>
      <c r="AF22" s="14">
        <f t="shared" si="58"/>
        <v>24720.407999999996</v>
      </c>
      <c r="AG22" s="14">
        <f t="shared" si="58"/>
        <v>35342.555999999997</v>
      </c>
      <c r="AH22" s="14">
        <f t="shared" ref="AH22:AL22" si="59">SUM(AH23:AH27)</f>
        <v>27127.427999999993</v>
      </c>
      <c r="AI22" s="14">
        <f t="shared" si="59"/>
        <v>35717.675999999992</v>
      </c>
      <c r="AJ22" s="14">
        <f t="shared" si="59"/>
        <v>28215.275999999998</v>
      </c>
      <c r="AK22" s="14">
        <f t="shared" si="59"/>
        <v>21106.752</v>
      </c>
      <c r="AL22" s="14">
        <f t="shared" si="59"/>
        <v>35436.335999999996</v>
      </c>
      <c r="AM22" s="10"/>
      <c r="AN22" s="38">
        <f t="shared" ref="AN22:AO22" si="60">SUM(AN23:AN27)</f>
        <v>2.98</v>
      </c>
      <c r="AO22" s="14">
        <f t="shared" si="60"/>
        <v>18541.560000000001</v>
      </c>
    </row>
    <row r="23" spans="1:41" s="1" customFormat="1" x14ac:dyDescent="0.2">
      <c r="A23" s="76" t="s">
        <v>38</v>
      </c>
      <c r="B23" s="72"/>
      <c r="C23" s="72"/>
      <c r="D23" s="72"/>
      <c r="E23" s="72"/>
      <c r="F23" s="72"/>
      <c r="G23" s="11" t="s">
        <v>4</v>
      </c>
      <c r="H23" s="11">
        <v>1.02</v>
      </c>
      <c r="I23" s="11">
        <f>1.02*12*I35</f>
        <v>6213.0240000000003</v>
      </c>
      <c r="J23" s="11">
        <f t="shared" ref="J23:K23" si="61">1.02*12*J35</f>
        <v>6342.7680000000009</v>
      </c>
      <c r="K23" s="11">
        <f t="shared" si="61"/>
        <v>7394.1840000000002</v>
      </c>
      <c r="L23" s="11">
        <f t="shared" ref="L23:X23" si="62">1.02*12*L35</f>
        <v>6288.9119999999994</v>
      </c>
      <c r="M23" s="11">
        <f t="shared" si="62"/>
        <v>7577.7840000000006</v>
      </c>
      <c r="N23" s="11">
        <f t="shared" si="62"/>
        <v>6878.88</v>
      </c>
      <c r="O23" s="11">
        <f t="shared" si="62"/>
        <v>7508.0159999999996</v>
      </c>
      <c r="P23" s="11">
        <f t="shared" si="62"/>
        <v>2987.7840000000001</v>
      </c>
      <c r="Q23" s="11">
        <f t="shared" si="62"/>
        <v>10587.6</v>
      </c>
      <c r="R23" s="11">
        <f t="shared" si="62"/>
        <v>6379.4880000000003</v>
      </c>
      <c r="S23" s="11">
        <f t="shared" si="62"/>
        <v>6075.9359999999997</v>
      </c>
      <c r="T23" s="11">
        <f t="shared" si="62"/>
        <v>8738.1360000000004</v>
      </c>
      <c r="U23" s="11">
        <f t="shared" si="62"/>
        <v>5392.9440000000004</v>
      </c>
      <c r="V23" s="11">
        <f t="shared" si="62"/>
        <v>3947.4</v>
      </c>
      <c r="W23" s="11">
        <f t="shared" si="62"/>
        <v>6172.6320000000005</v>
      </c>
      <c r="X23" s="11">
        <f t="shared" si="62"/>
        <v>8090.64</v>
      </c>
      <c r="Y23" s="11" t="s">
        <v>4</v>
      </c>
      <c r="Z23" s="25">
        <v>1.1499999999999999</v>
      </c>
      <c r="AA23" s="11">
        <f t="shared" ref="AA23:AL23" si="63">1.15*12*AA35</f>
        <v>6363.1799999999994</v>
      </c>
      <c r="AB23" s="11">
        <f t="shared" si="63"/>
        <v>6708.1799999999994</v>
      </c>
      <c r="AC23" s="11">
        <f t="shared" si="63"/>
        <v>10638.419999999998</v>
      </c>
      <c r="AD23" s="11">
        <f t="shared" si="63"/>
        <v>5620.74</v>
      </c>
      <c r="AE23" s="11">
        <f t="shared" si="63"/>
        <v>5598.66</v>
      </c>
      <c r="AF23" s="11">
        <f t="shared" si="63"/>
        <v>5456.5199999999995</v>
      </c>
      <c r="AG23" s="11">
        <f t="shared" si="63"/>
        <v>7801.1399999999985</v>
      </c>
      <c r="AH23" s="11">
        <f t="shared" si="63"/>
        <v>5987.8199999999988</v>
      </c>
      <c r="AI23" s="11">
        <f t="shared" si="63"/>
        <v>7883.9399999999987</v>
      </c>
      <c r="AJ23" s="11">
        <f t="shared" si="63"/>
        <v>6227.94</v>
      </c>
      <c r="AK23" s="11">
        <f t="shared" si="63"/>
        <v>4658.88</v>
      </c>
      <c r="AL23" s="11">
        <f t="shared" si="63"/>
        <v>7821.8399999999983</v>
      </c>
      <c r="AM23" s="11" t="s">
        <v>4</v>
      </c>
      <c r="AN23" s="37">
        <v>1.1499999999999999</v>
      </c>
      <c r="AO23" s="11">
        <f t="shared" ref="AO23" si="64">1.15*12*AO35</f>
        <v>7155.2999999999993</v>
      </c>
    </row>
    <row r="24" spans="1:41" s="1" customFormat="1" ht="25.5" customHeight="1" x14ac:dyDescent="0.2">
      <c r="A24" s="76" t="s">
        <v>28</v>
      </c>
      <c r="B24" s="72"/>
      <c r="C24" s="72"/>
      <c r="D24" s="72"/>
      <c r="E24" s="72"/>
      <c r="F24" s="72"/>
      <c r="G24" s="11" t="s">
        <v>3</v>
      </c>
      <c r="H24" s="11">
        <v>0</v>
      </c>
      <c r="I24" s="11">
        <f>0*1242*I35</f>
        <v>0</v>
      </c>
      <c r="J24" s="11">
        <f t="shared" ref="J24:K24" si="65">0*1242*J35</f>
        <v>0</v>
      </c>
      <c r="K24" s="11">
        <f t="shared" si="65"/>
        <v>0</v>
      </c>
      <c r="L24" s="11">
        <f t="shared" ref="L24:X24" si="66">0*1242*L35</f>
        <v>0</v>
      </c>
      <c r="M24" s="11">
        <f t="shared" si="66"/>
        <v>0</v>
      </c>
      <c r="N24" s="11">
        <f t="shared" si="66"/>
        <v>0</v>
      </c>
      <c r="O24" s="11">
        <f t="shared" si="66"/>
        <v>0</v>
      </c>
      <c r="P24" s="11">
        <f t="shared" si="66"/>
        <v>0</v>
      </c>
      <c r="Q24" s="11">
        <f t="shared" si="66"/>
        <v>0</v>
      </c>
      <c r="R24" s="11">
        <f t="shared" si="66"/>
        <v>0</v>
      </c>
      <c r="S24" s="11">
        <f t="shared" si="66"/>
        <v>0</v>
      </c>
      <c r="T24" s="11">
        <f t="shared" si="66"/>
        <v>0</v>
      </c>
      <c r="U24" s="11">
        <f t="shared" si="66"/>
        <v>0</v>
      </c>
      <c r="V24" s="11">
        <f t="shared" si="66"/>
        <v>0</v>
      </c>
      <c r="W24" s="11">
        <f t="shared" si="66"/>
        <v>0</v>
      </c>
      <c r="X24" s="11">
        <f t="shared" si="66"/>
        <v>0</v>
      </c>
      <c r="Y24" s="11" t="s">
        <v>3</v>
      </c>
      <c r="Z24" s="25">
        <v>0</v>
      </c>
      <c r="AA24" s="11">
        <f t="shared" ref="AA24" si="67">0*12*AA35</f>
        <v>0</v>
      </c>
      <c r="AB24" s="11">
        <f t="shared" ref="AB24:AC24" si="68">0*12*AB35</f>
        <v>0</v>
      </c>
      <c r="AC24" s="11">
        <f t="shared" si="68"/>
        <v>0</v>
      </c>
      <c r="AD24" s="11">
        <f t="shared" ref="AD24:AG24" si="69">0*12*AD35</f>
        <v>0</v>
      </c>
      <c r="AE24" s="11">
        <f t="shared" si="69"/>
        <v>0</v>
      </c>
      <c r="AF24" s="11">
        <f t="shared" si="69"/>
        <v>0</v>
      </c>
      <c r="AG24" s="11">
        <f t="shared" si="69"/>
        <v>0</v>
      </c>
      <c r="AH24" s="11">
        <f t="shared" ref="AH24:AL24" si="70">0*12*AH35</f>
        <v>0</v>
      </c>
      <c r="AI24" s="11">
        <f t="shared" si="70"/>
        <v>0</v>
      </c>
      <c r="AJ24" s="11">
        <f t="shared" si="70"/>
        <v>0</v>
      </c>
      <c r="AK24" s="11">
        <f t="shared" si="70"/>
        <v>0</v>
      </c>
      <c r="AL24" s="11">
        <f t="shared" si="70"/>
        <v>0</v>
      </c>
      <c r="AM24" s="11" t="s">
        <v>3</v>
      </c>
      <c r="AN24" s="37">
        <v>0</v>
      </c>
      <c r="AO24" s="11">
        <f t="shared" ref="AO24" si="71">0*12*AO35</f>
        <v>0</v>
      </c>
    </row>
    <row r="25" spans="1:41" s="1" customFormat="1" ht="25.5" customHeight="1" x14ac:dyDescent="0.2">
      <c r="A25" s="76" t="s">
        <v>29</v>
      </c>
      <c r="B25" s="76"/>
      <c r="C25" s="76"/>
      <c r="D25" s="76"/>
      <c r="E25" s="76"/>
      <c r="F25" s="76"/>
      <c r="G25" s="11" t="s">
        <v>8</v>
      </c>
      <c r="H25" s="11">
        <v>0</v>
      </c>
      <c r="I25" s="11">
        <f>0*12*I35</f>
        <v>0</v>
      </c>
      <c r="J25" s="11">
        <f t="shared" ref="J25:K25" si="72">0*12*J35</f>
        <v>0</v>
      </c>
      <c r="K25" s="11">
        <f t="shared" si="72"/>
        <v>0</v>
      </c>
      <c r="L25" s="11">
        <f t="shared" ref="L25:X25" si="73">0*12*L35</f>
        <v>0</v>
      </c>
      <c r="M25" s="11">
        <f t="shared" si="73"/>
        <v>0</v>
      </c>
      <c r="N25" s="11">
        <f t="shared" si="73"/>
        <v>0</v>
      </c>
      <c r="O25" s="11">
        <f t="shared" si="73"/>
        <v>0</v>
      </c>
      <c r="P25" s="11">
        <f t="shared" si="73"/>
        <v>0</v>
      </c>
      <c r="Q25" s="11">
        <f t="shared" si="73"/>
        <v>0</v>
      </c>
      <c r="R25" s="11">
        <f t="shared" si="73"/>
        <v>0</v>
      </c>
      <c r="S25" s="11">
        <f t="shared" si="73"/>
        <v>0</v>
      </c>
      <c r="T25" s="11">
        <f t="shared" si="73"/>
        <v>0</v>
      </c>
      <c r="U25" s="11">
        <f t="shared" si="73"/>
        <v>0</v>
      </c>
      <c r="V25" s="11">
        <f t="shared" si="73"/>
        <v>0</v>
      </c>
      <c r="W25" s="11">
        <f t="shared" si="73"/>
        <v>0</v>
      </c>
      <c r="X25" s="11">
        <f t="shared" si="73"/>
        <v>0</v>
      </c>
      <c r="Y25" s="11" t="s">
        <v>8</v>
      </c>
      <c r="Z25" s="25">
        <v>0</v>
      </c>
      <c r="AA25" s="11">
        <f t="shared" ref="AA25" si="74">0*12*AA35</f>
        <v>0</v>
      </c>
      <c r="AB25" s="11">
        <f t="shared" ref="AB25:AC25" si="75">0*12*AB35</f>
        <v>0</v>
      </c>
      <c r="AC25" s="11">
        <f t="shared" si="75"/>
        <v>0</v>
      </c>
      <c r="AD25" s="11">
        <f t="shared" ref="AD25:AG25" si="76">0*12*AD35</f>
        <v>0</v>
      </c>
      <c r="AE25" s="11">
        <f t="shared" si="76"/>
        <v>0</v>
      </c>
      <c r="AF25" s="11">
        <f t="shared" si="76"/>
        <v>0</v>
      </c>
      <c r="AG25" s="11">
        <f t="shared" si="76"/>
        <v>0</v>
      </c>
      <c r="AH25" s="11">
        <f t="shared" ref="AH25:AL25" si="77">0*12*AH35</f>
        <v>0</v>
      </c>
      <c r="AI25" s="11">
        <f t="shared" si="77"/>
        <v>0</v>
      </c>
      <c r="AJ25" s="11">
        <f t="shared" si="77"/>
        <v>0</v>
      </c>
      <c r="AK25" s="11">
        <f t="shared" si="77"/>
        <v>0</v>
      </c>
      <c r="AL25" s="11">
        <f t="shared" si="77"/>
        <v>0</v>
      </c>
      <c r="AM25" s="11" t="s">
        <v>8</v>
      </c>
      <c r="AN25" s="37">
        <v>0</v>
      </c>
      <c r="AO25" s="11">
        <f t="shared" ref="AO25" si="78">0*12*AO35</f>
        <v>0</v>
      </c>
    </row>
    <row r="26" spans="1:41" s="1" customFormat="1" ht="57" customHeight="1" x14ac:dyDescent="0.2">
      <c r="A26" s="76" t="s">
        <v>30</v>
      </c>
      <c r="B26" s="76"/>
      <c r="C26" s="76"/>
      <c r="D26" s="76"/>
      <c r="E26" s="76"/>
      <c r="F26" s="76"/>
      <c r="G26" s="12" t="s">
        <v>9</v>
      </c>
      <c r="H26" s="11">
        <f>0.03+0.01</f>
        <v>0.04</v>
      </c>
      <c r="I26" s="11">
        <f>0.04*12*I35</f>
        <v>243.648</v>
      </c>
      <c r="J26" s="11">
        <f t="shared" ref="J26:K26" si="79">0.04*12*J35</f>
        <v>248.73600000000002</v>
      </c>
      <c r="K26" s="11">
        <f t="shared" si="79"/>
        <v>289.96800000000002</v>
      </c>
      <c r="L26" s="11">
        <f t="shared" ref="L26:X26" si="80">0.04*12*L35</f>
        <v>246.62399999999997</v>
      </c>
      <c r="M26" s="11">
        <f t="shared" si="80"/>
        <v>297.16800000000001</v>
      </c>
      <c r="N26" s="11">
        <f t="shared" si="80"/>
        <v>269.76</v>
      </c>
      <c r="O26" s="11">
        <f t="shared" si="80"/>
        <v>294.43199999999996</v>
      </c>
      <c r="P26" s="11">
        <f t="shared" si="80"/>
        <v>117.16799999999999</v>
      </c>
      <c r="Q26" s="11">
        <f t="shared" si="80"/>
        <v>415.2</v>
      </c>
      <c r="R26" s="11">
        <f t="shared" si="80"/>
        <v>250.17600000000002</v>
      </c>
      <c r="S26" s="11">
        <f t="shared" si="80"/>
        <v>238.27199999999999</v>
      </c>
      <c r="T26" s="11">
        <f t="shared" si="80"/>
        <v>342.67199999999997</v>
      </c>
      <c r="U26" s="11">
        <f t="shared" si="80"/>
        <v>211.488</v>
      </c>
      <c r="V26" s="11">
        <f t="shared" si="80"/>
        <v>154.79999999999998</v>
      </c>
      <c r="W26" s="11">
        <f t="shared" si="80"/>
        <v>242.06399999999999</v>
      </c>
      <c r="X26" s="11">
        <f t="shared" si="80"/>
        <v>317.27999999999997</v>
      </c>
      <c r="Y26" s="12" t="s">
        <v>9</v>
      </c>
      <c r="Z26" s="25">
        <v>0.04</v>
      </c>
      <c r="AA26" s="11">
        <f t="shared" ref="AA26" si="81">0.04*12*AA35</f>
        <v>221.328</v>
      </c>
      <c r="AB26" s="11">
        <f t="shared" ref="AB26:AC26" si="82">0.04*12*AB35</f>
        <v>233.328</v>
      </c>
      <c r="AC26" s="11">
        <f t="shared" si="82"/>
        <v>370.03199999999998</v>
      </c>
      <c r="AD26" s="11">
        <f t="shared" ref="AD26:AG26" si="83">0.04*12*AD35</f>
        <v>195.50399999999999</v>
      </c>
      <c r="AE26" s="11">
        <f t="shared" si="83"/>
        <v>194.73599999999999</v>
      </c>
      <c r="AF26" s="11">
        <f t="shared" si="83"/>
        <v>189.79199999999997</v>
      </c>
      <c r="AG26" s="11">
        <f t="shared" si="83"/>
        <v>271.34399999999999</v>
      </c>
      <c r="AH26" s="11">
        <f t="shared" ref="AH26:AL26" si="84">0.04*12*AH35</f>
        <v>208.27199999999999</v>
      </c>
      <c r="AI26" s="11">
        <f t="shared" si="84"/>
        <v>274.22399999999999</v>
      </c>
      <c r="AJ26" s="11">
        <f t="shared" si="84"/>
        <v>216.624</v>
      </c>
      <c r="AK26" s="11">
        <f t="shared" si="84"/>
        <v>162.048</v>
      </c>
      <c r="AL26" s="11">
        <f t="shared" si="84"/>
        <v>272.06399999999996</v>
      </c>
      <c r="AM26" s="12" t="s">
        <v>9</v>
      </c>
      <c r="AN26" s="37">
        <v>0.04</v>
      </c>
      <c r="AO26" s="11">
        <f t="shared" ref="AO26" si="85">0.04*12*AO35</f>
        <v>248.88</v>
      </c>
    </row>
    <row r="27" spans="1:41" s="1" customFormat="1" ht="85.5" customHeight="1" x14ac:dyDescent="0.2">
      <c r="A27" s="76" t="s">
        <v>47</v>
      </c>
      <c r="B27" s="76"/>
      <c r="C27" s="76"/>
      <c r="D27" s="76"/>
      <c r="E27" s="76"/>
      <c r="F27" s="76"/>
      <c r="G27" s="11" t="s">
        <v>8</v>
      </c>
      <c r="H27" s="11">
        <f>0.32+0.18+0.38</f>
        <v>0.88</v>
      </c>
      <c r="I27" s="11">
        <f>0.88*12*I35</f>
        <v>5360.2560000000003</v>
      </c>
      <c r="J27" s="11">
        <f t="shared" ref="J27:K27" si="86">0.88*12*J35</f>
        <v>5472.1920000000009</v>
      </c>
      <c r="K27" s="11">
        <f t="shared" si="86"/>
        <v>6379.2960000000003</v>
      </c>
      <c r="L27" s="11">
        <f t="shared" ref="L27:X27" si="87">0.88*12*L35</f>
        <v>5425.7280000000001</v>
      </c>
      <c r="M27" s="11">
        <f t="shared" si="87"/>
        <v>6537.6960000000008</v>
      </c>
      <c r="N27" s="11">
        <f t="shared" si="87"/>
        <v>5934.72</v>
      </c>
      <c r="O27" s="11">
        <f t="shared" si="87"/>
        <v>6477.5039999999999</v>
      </c>
      <c r="P27" s="11">
        <f t="shared" si="87"/>
        <v>2577.6959999999999</v>
      </c>
      <c r="Q27" s="11">
        <f t="shared" si="87"/>
        <v>9134.4</v>
      </c>
      <c r="R27" s="11">
        <f t="shared" si="87"/>
        <v>5503.8720000000003</v>
      </c>
      <c r="S27" s="11">
        <f t="shared" si="87"/>
        <v>5241.9840000000004</v>
      </c>
      <c r="T27" s="11">
        <f t="shared" si="87"/>
        <v>7538.7840000000006</v>
      </c>
      <c r="U27" s="11">
        <f t="shared" si="87"/>
        <v>4652.7360000000008</v>
      </c>
      <c r="V27" s="11">
        <f t="shared" si="87"/>
        <v>3405.6000000000004</v>
      </c>
      <c r="W27" s="11">
        <f t="shared" si="87"/>
        <v>5325.4080000000004</v>
      </c>
      <c r="X27" s="11">
        <f t="shared" si="87"/>
        <v>6980.1600000000008</v>
      </c>
      <c r="Y27" s="11" t="s">
        <v>8</v>
      </c>
      <c r="Z27" s="25">
        <f>0.31+0.67+0.91+0.3+1.16+0.67</f>
        <v>4.0199999999999996</v>
      </c>
      <c r="AA27" s="11">
        <f t="shared" ref="AA27:AL27" si="88">4.02*12*AA35</f>
        <v>22243.464</v>
      </c>
      <c r="AB27" s="11">
        <f t="shared" si="88"/>
        <v>23449.464</v>
      </c>
      <c r="AC27" s="11">
        <f t="shared" si="88"/>
        <v>37188.215999999993</v>
      </c>
      <c r="AD27" s="11">
        <f t="shared" si="88"/>
        <v>19648.151999999998</v>
      </c>
      <c r="AE27" s="11">
        <f t="shared" si="88"/>
        <v>19570.967999999997</v>
      </c>
      <c r="AF27" s="11">
        <f t="shared" si="88"/>
        <v>19074.095999999998</v>
      </c>
      <c r="AG27" s="11">
        <f t="shared" si="88"/>
        <v>27270.071999999996</v>
      </c>
      <c r="AH27" s="11">
        <f t="shared" si="88"/>
        <v>20931.335999999996</v>
      </c>
      <c r="AI27" s="11">
        <f t="shared" si="88"/>
        <v>27559.511999999995</v>
      </c>
      <c r="AJ27" s="11">
        <f t="shared" si="88"/>
        <v>21770.712</v>
      </c>
      <c r="AK27" s="11">
        <f t="shared" si="88"/>
        <v>16285.823999999999</v>
      </c>
      <c r="AL27" s="11">
        <f t="shared" si="88"/>
        <v>27342.431999999993</v>
      </c>
      <c r="AM27" s="11" t="s">
        <v>8</v>
      </c>
      <c r="AN27" s="37">
        <f>0.67+0.45+0.67</f>
        <v>1.79</v>
      </c>
      <c r="AO27" s="11">
        <f t="shared" ref="AO27" si="89">1.79*12*AO35</f>
        <v>11137.380000000001</v>
      </c>
    </row>
    <row r="28" spans="1:41" s="1" customFormat="1" x14ac:dyDescent="0.2">
      <c r="A28" s="83" t="s">
        <v>7</v>
      </c>
      <c r="B28" s="84"/>
      <c r="C28" s="84"/>
      <c r="D28" s="84"/>
      <c r="E28" s="84"/>
      <c r="F28" s="85"/>
      <c r="G28" s="10"/>
      <c r="H28" s="14">
        <f t="shared" ref="H28" si="90">SUM(H29:H33)</f>
        <v>11.659999999999997</v>
      </c>
      <c r="I28" s="14">
        <f t="shared" ref="I28:K28" si="91">SUM(I29:I33)</f>
        <v>71023.391999999993</v>
      </c>
      <c r="J28" s="14">
        <f t="shared" si="91"/>
        <v>72506.543999999994</v>
      </c>
      <c r="K28" s="14">
        <f t="shared" si="91"/>
        <v>84525.672000000006</v>
      </c>
      <c r="L28" s="14">
        <f t="shared" ref="L28:M28" si="92">SUM(L29:L33)</f>
        <v>71890.895999999979</v>
      </c>
      <c r="M28" s="14">
        <f t="shared" si="92"/>
        <v>86624.471999999994</v>
      </c>
      <c r="N28" s="14">
        <f t="shared" ref="N28:Q28" si="93">SUM(N29:N33)</f>
        <v>78635.039999999994</v>
      </c>
      <c r="O28" s="14">
        <f t="shared" si="93"/>
        <v>85826.927999999985</v>
      </c>
      <c r="P28" s="14">
        <f t="shared" si="93"/>
        <v>34154.471999999994</v>
      </c>
      <c r="Q28" s="14">
        <f t="shared" si="93"/>
        <v>121030.8</v>
      </c>
      <c r="R28" s="14">
        <f t="shared" ref="R28:X28" si="94">SUM(R29:R33)</f>
        <v>72926.303999999989</v>
      </c>
      <c r="S28" s="14">
        <f t="shared" si="94"/>
        <v>69456.287999999986</v>
      </c>
      <c r="T28" s="14">
        <f t="shared" si="94"/>
        <v>99888.887999999977</v>
      </c>
      <c r="U28" s="14">
        <f t="shared" si="94"/>
        <v>61648.752</v>
      </c>
      <c r="V28" s="14">
        <f t="shared" si="94"/>
        <v>45124.2</v>
      </c>
      <c r="W28" s="14">
        <f t="shared" si="94"/>
        <v>70561.655999999988</v>
      </c>
      <c r="X28" s="14">
        <f t="shared" si="94"/>
        <v>92487.12</v>
      </c>
      <c r="Y28" s="10"/>
      <c r="Z28" s="26">
        <f t="shared" ref="Z28" si="95">SUM(Z29:Z33)</f>
        <v>6.8</v>
      </c>
      <c r="AA28" s="14">
        <f t="shared" ref="AA28" si="96">SUM(AA29:AA33)</f>
        <v>37625.760000000002</v>
      </c>
      <c r="AB28" s="14">
        <f t="shared" ref="AB28:AC28" si="97">SUM(AB29:AB33)</f>
        <v>39665.760000000002</v>
      </c>
      <c r="AC28" s="14">
        <f t="shared" si="97"/>
        <v>62905.440000000002</v>
      </c>
      <c r="AD28" s="14">
        <f t="shared" ref="AD28:AG28" si="98">SUM(AD29:AD33)</f>
        <v>33235.68</v>
      </c>
      <c r="AE28" s="14">
        <f t="shared" si="98"/>
        <v>33105.120000000003</v>
      </c>
      <c r="AF28" s="14">
        <f t="shared" si="98"/>
        <v>32264.639999999999</v>
      </c>
      <c r="AG28" s="14">
        <f t="shared" si="98"/>
        <v>46128.480000000003</v>
      </c>
      <c r="AH28" s="14">
        <f t="shared" ref="AH28:AL28" si="99">SUM(AH29:AH33)</f>
        <v>35406.239999999998</v>
      </c>
      <c r="AI28" s="14">
        <f t="shared" si="99"/>
        <v>46618.079999999994</v>
      </c>
      <c r="AJ28" s="14">
        <f t="shared" si="99"/>
        <v>36826.080000000002</v>
      </c>
      <c r="AK28" s="14">
        <f t="shared" si="99"/>
        <v>27548.160000000007</v>
      </c>
      <c r="AL28" s="14">
        <f t="shared" si="99"/>
        <v>46250.87999999999</v>
      </c>
      <c r="AM28" s="10"/>
      <c r="AN28" s="38">
        <f t="shared" ref="AN28:AO28" si="100">SUM(AN29:AN33)</f>
        <v>4.6500000000000004</v>
      </c>
      <c r="AO28" s="14">
        <f t="shared" si="100"/>
        <v>28932.299999999996</v>
      </c>
    </row>
    <row r="29" spans="1:41" s="1" customFormat="1" ht="176.25" customHeight="1" x14ac:dyDescent="0.2">
      <c r="A29" s="76" t="s">
        <v>39</v>
      </c>
      <c r="B29" s="76"/>
      <c r="C29" s="76"/>
      <c r="D29" s="76"/>
      <c r="E29" s="76"/>
      <c r="F29" s="76"/>
      <c r="G29" s="12" t="s">
        <v>44</v>
      </c>
      <c r="H29" s="11">
        <f>0.49+0.35+2.46+2.46+0.81+0.1+0.13+0.14+0.1+0.03+0.02+0.04+0.01</f>
        <v>7.1399999999999988</v>
      </c>
      <c r="I29" s="11">
        <f>7.14*12*I35</f>
        <v>43491.167999999998</v>
      </c>
      <c r="J29" s="11">
        <f t="shared" ref="J29:K29" si="101">7.14*12*J35</f>
        <v>44399.375999999997</v>
      </c>
      <c r="K29" s="11">
        <f t="shared" si="101"/>
        <v>51759.288</v>
      </c>
      <c r="L29" s="11">
        <f t="shared" ref="L29:X29" si="102">7.14*12*L35</f>
        <v>44022.383999999991</v>
      </c>
      <c r="M29" s="11">
        <f t="shared" si="102"/>
        <v>53044.487999999998</v>
      </c>
      <c r="N29" s="11">
        <f t="shared" si="102"/>
        <v>48152.159999999996</v>
      </c>
      <c r="O29" s="11">
        <f t="shared" si="102"/>
        <v>52556.111999999994</v>
      </c>
      <c r="P29" s="11">
        <f t="shared" si="102"/>
        <v>20914.487999999998</v>
      </c>
      <c r="Q29" s="11">
        <f t="shared" si="102"/>
        <v>74113.2</v>
      </c>
      <c r="R29" s="11">
        <f t="shared" si="102"/>
        <v>44656.415999999997</v>
      </c>
      <c r="S29" s="11">
        <f t="shared" si="102"/>
        <v>42531.551999999996</v>
      </c>
      <c r="T29" s="11">
        <f t="shared" si="102"/>
        <v>61166.95199999999</v>
      </c>
      <c r="U29" s="11">
        <f t="shared" si="102"/>
        <v>37750.608</v>
      </c>
      <c r="V29" s="11">
        <f t="shared" si="102"/>
        <v>27631.8</v>
      </c>
      <c r="W29" s="11">
        <f t="shared" si="102"/>
        <v>43208.423999999999</v>
      </c>
      <c r="X29" s="11">
        <f t="shared" si="102"/>
        <v>56634.479999999996</v>
      </c>
      <c r="Y29" s="12" t="s">
        <v>44</v>
      </c>
      <c r="Z29" s="25">
        <f>0.73+0.12+0.05+0.13+0.28+0.3+0.03+0.02+0.05+0.03+0.5</f>
        <v>2.2400000000000002</v>
      </c>
      <c r="AA29" s="11">
        <f t="shared" ref="AA29:AL29" si="103">2.24*12*AA35</f>
        <v>12394.368000000002</v>
      </c>
      <c r="AB29" s="11">
        <f t="shared" si="103"/>
        <v>13066.368000000002</v>
      </c>
      <c r="AC29" s="11">
        <f t="shared" si="103"/>
        <v>20721.792000000001</v>
      </c>
      <c r="AD29" s="11">
        <f t="shared" si="103"/>
        <v>10948.224000000002</v>
      </c>
      <c r="AE29" s="11">
        <f t="shared" si="103"/>
        <v>10905.216</v>
      </c>
      <c r="AF29" s="11">
        <f t="shared" si="103"/>
        <v>10628.352000000001</v>
      </c>
      <c r="AG29" s="11">
        <f t="shared" si="103"/>
        <v>15195.264000000001</v>
      </c>
      <c r="AH29" s="11">
        <f t="shared" si="103"/>
        <v>11663.232</v>
      </c>
      <c r="AI29" s="11">
        <f t="shared" si="103"/>
        <v>15356.544</v>
      </c>
      <c r="AJ29" s="11">
        <f t="shared" si="103"/>
        <v>12130.944000000001</v>
      </c>
      <c r="AK29" s="11">
        <f t="shared" si="103"/>
        <v>9074.6880000000019</v>
      </c>
      <c r="AL29" s="11">
        <f t="shared" si="103"/>
        <v>15235.584000000001</v>
      </c>
      <c r="AM29" s="12" t="s">
        <v>44</v>
      </c>
      <c r="AN29" s="37">
        <f>0.73+0.12+0.05+0.13+0.3+0.03+0.02+0.05+0.03+0.5</f>
        <v>1.9600000000000002</v>
      </c>
      <c r="AO29" s="11">
        <f t="shared" ref="AO29" si="104">1.96*12*AO35</f>
        <v>12195.119999999999</v>
      </c>
    </row>
    <row r="30" spans="1:41" s="1" customFormat="1" ht="84.75" customHeight="1" x14ac:dyDescent="0.2">
      <c r="A30" s="72" t="s">
        <v>6</v>
      </c>
      <c r="B30" s="72"/>
      <c r="C30" s="72"/>
      <c r="D30" s="72"/>
      <c r="E30" s="72"/>
      <c r="F30" s="72"/>
      <c r="G30" s="12" t="s">
        <v>5</v>
      </c>
      <c r="H30" s="11">
        <v>1.4</v>
      </c>
      <c r="I30" s="11">
        <f>1.4*12*I35</f>
        <v>8527.6799999999985</v>
      </c>
      <c r="J30" s="11">
        <f t="shared" ref="J30:K30" si="105">1.4*12*J35</f>
        <v>8705.7599999999984</v>
      </c>
      <c r="K30" s="11">
        <f t="shared" si="105"/>
        <v>10148.879999999999</v>
      </c>
      <c r="L30" s="11">
        <f t="shared" ref="L30:X30" si="106">1.4*12*L35</f>
        <v>8631.8399999999983</v>
      </c>
      <c r="M30" s="11">
        <f t="shared" si="106"/>
        <v>10400.879999999999</v>
      </c>
      <c r="N30" s="11">
        <f t="shared" si="106"/>
        <v>9441.5999999999985</v>
      </c>
      <c r="O30" s="11">
        <f t="shared" si="106"/>
        <v>10305.119999999997</v>
      </c>
      <c r="P30" s="11">
        <f t="shared" si="106"/>
        <v>4100.8799999999992</v>
      </c>
      <c r="Q30" s="11">
        <f t="shared" si="106"/>
        <v>14531.999999999998</v>
      </c>
      <c r="R30" s="11">
        <f t="shared" si="106"/>
        <v>8756.16</v>
      </c>
      <c r="S30" s="11">
        <f t="shared" si="106"/>
        <v>8339.5199999999986</v>
      </c>
      <c r="T30" s="11">
        <f t="shared" si="106"/>
        <v>11993.519999999997</v>
      </c>
      <c r="U30" s="11">
        <f t="shared" si="106"/>
        <v>7402.079999999999</v>
      </c>
      <c r="V30" s="11">
        <f t="shared" si="106"/>
        <v>5417.9999999999991</v>
      </c>
      <c r="W30" s="11">
        <f t="shared" si="106"/>
        <v>8472.239999999998</v>
      </c>
      <c r="X30" s="11">
        <f t="shared" si="106"/>
        <v>11104.799999999997</v>
      </c>
      <c r="Y30" s="12" t="s">
        <v>5</v>
      </c>
      <c r="Z30" s="25">
        <v>1.39</v>
      </c>
      <c r="AA30" s="11">
        <f t="shared" ref="AA30:AL30" si="107">1.39*12*AA35</f>
        <v>7691.1480000000001</v>
      </c>
      <c r="AB30" s="11">
        <f t="shared" si="107"/>
        <v>8108.1480000000001</v>
      </c>
      <c r="AC30" s="11">
        <f t="shared" si="107"/>
        <v>12858.611999999999</v>
      </c>
      <c r="AD30" s="11">
        <f t="shared" si="107"/>
        <v>6793.7640000000001</v>
      </c>
      <c r="AE30" s="11">
        <f t="shared" si="107"/>
        <v>6767.076</v>
      </c>
      <c r="AF30" s="11">
        <f t="shared" si="107"/>
        <v>6595.2719999999999</v>
      </c>
      <c r="AG30" s="11">
        <f t="shared" si="107"/>
        <v>9429.2039999999997</v>
      </c>
      <c r="AH30" s="11">
        <f t="shared" si="107"/>
        <v>7237.4519999999993</v>
      </c>
      <c r="AI30" s="11">
        <f t="shared" si="107"/>
        <v>9529.2839999999997</v>
      </c>
      <c r="AJ30" s="11">
        <f t="shared" si="107"/>
        <v>7527.6840000000002</v>
      </c>
      <c r="AK30" s="11">
        <f t="shared" si="107"/>
        <v>5631.1680000000006</v>
      </c>
      <c r="AL30" s="11">
        <f t="shared" si="107"/>
        <v>9454.2239999999983</v>
      </c>
      <c r="AM30" s="12" t="s">
        <v>5</v>
      </c>
      <c r="AN30" s="37">
        <v>1.39</v>
      </c>
      <c r="AO30" s="11">
        <f t="shared" ref="AO30" si="108">1.39*12*AO35</f>
        <v>8648.58</v>
      </c>
    </row>
    <row r="31" spans="1:41" s="1" customFormat="1" ht="22.5" x14ac:dyDescent="0.2">
      <c r="A31" s="72" t="s">
        <v>37</v>
      </c>
      <c r="B31" s="72"/>
      <c r="C31" s="72"/>
      <c r="D31" s="72"/>
      <c r="E31" s="72"/>
      <c r="F31" s="72"/>
      <c r="G31" s="13" t="s">
        <v>45</v>
      </c>
      <c r="H31" s="11">
        <f>0.51+0.3+0.22+0.12+0.17+0.22</f>
        <v>1.5399999999999998</v>
      </c>
      <c r="I31" s="11">
        <f>1.54*12*I35</f>
        <v>9380.4480000000003</v>
      </c>
      <c r="J31" s="11">
        <f t="shared" ref="J31:K31" si="109">1.54*12*J35</f>
        <v>9576.3360000000011</v>
      </c>
      <c r="K31" s="11">
        <f t="shared" si="109"/>
        <v>11163.768</v>
      </c>
      <c r="L31" s="11">
        <f t="shared" ref="L31:X31" si="110">1.54*12*L35</f>
        <v>9495.0239999999994</v>
      </c>
      <c r="M31" s="11">
        <f t="shared" si="110"/>
        <v>11440.968000000001</v>
      </c>
      <c r="N31" s="11">
        <f t="shared" si="110"/>
        <v>10385.76</v>
      </c>
      <c r="O31" s="11">
        <f t="shared" si="110"/>
        <v>11335.632</v>
      </c>
      <c r="P31" s="11">
        <f t="shared" si="110"/>
        <v>4510.9679999999998</v>
      </c>
      <c r="Q31" s="11">
        <f t="shared" si="110"/>
        <v>15985.2</v>
      </c>
      <c r="R31" s="11">
        <f t="shared" si="110"/>
        <v>9631.7760000000017</v>
      </c>
      <c r="S31" s="11">
        <f t="shared" si="110"/>
        <v>9173.4719999999998</v>
      </c>
      <c r="T31" s="11">
        <f t="shared" si="110"/>
        <v>13192.871999999999</v>
      </c>
      <c r="U31" s="11">
        <f t="shared" si="110"/>
        <v>8142.2880000000005</v>
      </c>
      <c r="V31" s="11">
        <f t="shared" si="110"/>
        <v>5959.8</v>
      </c>
      <c r="W31" s="11">
        <f t="shared" si="110"/>
        <v>9319.4639999999999</v>
      </c>
      <c r="X31" s="11">
        <f t="shared" si="110"/>
        <v>12215.28</v>
      </c>
      <c r="Y31" s="13" t="s">
        <v>45</v>
      </c>
      <c r="Z31" s="25">
        <f>0.76+0.3+0.22+0.12+0.17</f>
        <v>1.5699999999999998</v>
      </c>
      <c r="AA31" s="11">
        <f t="shared" ref="AA31:AL31" si="111">1.57*12*AA35</f>
        <v>8687.1239999999998</v>
      </c>
      <c r="AB31" s="11">
        <f t="shared" si="111"/>
        <v>9158.1239999999998</v>
      </c>
      <c r="AC31" s="11">
        <f t="shared" si="111"/>
        <v>14523.755999999999</v>
      </c>
      <c r="AD31" s="11">
        <f t="shared" si="111"/>
        <v>7673.5320000000002</v>
      </c>
      <c r="AE31" s="11">
        <f t="shared" si="111"/>
        <v>7643.3879999999999</v>
      </c>
      <c r="AF31" s="11">
        <f t="shared" si="111"/>
        <v>7449.3359999999993</v>
      </c>
      <c r="AG31" s="11">
        <f t="shared" si="111"/>
        <v>10650.251999999999</v>
      </c>
      <c r="AH31" s="11">
        <f t="shared" si="111"/>
        <v>8174.6759999999995</v>
      </c>
      <c r="AI31" s="11">
        <f t="shared" si="111"/>
        <v>10763.291999999999</v>
      </c>
      <c r="AJ31" s="11">
        <f t="shared" si="111"/>
        <v>8502.4920000000002</v>
      </c>
      <c r="AK31" s="11">
        <f t="shared" si="111"/>
        <v>6360.384</v>
      </c>
      <c r="AL31" s="11">
        <f t="shared" si="111"/>
        <v>10678.511999999999</v>
      </c>
      <c r="AM31" s="13" t="s">
        <v>45</v>
      </c>
      <c r="AN31" s="37">
        <v>0</v>
      </c>
      <c r="AO31" s="11">
        <f t="shared" ref="AO31" si="112">0*12*AO35</f>
        <v>0</v>
      </c>
    </row>
    <row r="32" spans="1:41" s="1" customFormat="1" x14ac:dyDescent="0.2">
      <c r="A32" s="72" t="s">
        <v>50</v>
      </c>
      <c r="B32" s="72"/>
      <c r="C32" s="72"/>
      <c r="D32" s="72"/>
      <c r="E32" s="72"/>
      <c r="F32" s="72"/>
      <c r="G32" s="11" t="s">
        <v>4</v>
      </c>
      <c r="H32" s="11">
        <v>0.87</v>
      </c>
      <c r="I32" s="11">
        <f>0.87*12*I35</f>
        <v>5299.3440000000001</v>
      </c>
      <c r="J32" s="11">
        <f t="shared" ref="J32:K32" si="113">0.87*12*J35</f>
        <v>5410.0079999999998</v>
      </c>
      <c r="K32" s="11">
        <f t="shared" si="113"/>
        <v>6306.8040000000001</v>
      </c>
      <c r="L32" s="11">
        <f t="shared" ref="L32:X32" si="114">0.87*12*L35</f>
        <v>5364.0719999999992</v>
      </c>
      <c r="M32" s="11">
        <f t="shared" si="114"/>
        <v>6463.4039999999995</v>
      </c>
      <c r="N32" s="11">
        <f t="shared" si="114"/>
        <v>5867.28</v>
      </c>
      <c r="O32" s="11">
        <f t="shared" si="114"/>
        <v>6403.8959999999997</v>
      </c>
      <c r="P32" s="11">
        <f t="shared" si="114"/>
        <v>2548.404</v>
      </c>
      <c r="Q32" s="11">
        <f t="shared" si="114"/>
        <v>9030.6</v>
      </c>
      <c r="R32" s="11">
        <f t="shared" si="114"/>
        <v>5441.3280000000004</v>
      </c>
      <c r="S32" s="11">
        <f t="shared" si="114"/>
        <v>5182.4159999999993</v>
      </c>
      <c r="T32" s="11">
        <f t="shared" si="114"/>
        <v>7453.1159999999991</v>
      </c>
      <c r="U32" s="11">
        <f t="shared" si="114"/>
        <v>4599.8639999999996</v>
      </c>
      <c r="V32" s="11">
        <f t="shared" si="114"/>
        <v>3366.8999999999996</v>
      </c>
      <c r="W32" s="11">
        <f t="shared" si="114"/>
        <v>5264.8919999999998</v>
      </c>
      <c r="X32" s="11">
        <f t="shared" si="114"/>
        <v>6900.8399999999992</v>
      </c>
      <c r="Y32" s="11" t="s">
        <v>4</v>
      </c>
      <c r="Z32" s="25">
        <v>1.1499999999999999</v>
      </c>
      <c r="AA32" s="11">
        <f t="shared" ref="AA32:AL32" si="115">1.15*12*AA35</f>
        <v>6363.1799999999994</v>
      </c>
      <c r="AB32" s="11">
        <f t="shared" si="115"/>
        <v>6708.1799999999994</v>
      </c>
      <c r="AC32" s="11">
        <f t="shared" si="115"/>
        <v>10638.419999999998</v>
      </c>
      <c r="AD32" s="11">
        <f t="shared" si="115"/>
        <v>5620.74</v>
      </c>
      <c r="AE32" s="11">
        <f t="shared" si="115"/>
        <v>5598.66</v>
      </c>
      <c r="AF32" s="11">
        <f t="shared" si="115"/>
        <v>5456.5199999999995</v>
      </c>
      <c r="AG32" s="11">
        <f t="shared" si="115"/>
        <v>7801.1399999999985</v>
      </c>
      <c r="AH32" s="11">
        <f t="shared" si="115"/>
        <v>5987.8199999999988</v>
      </c>
      <c r="AI32" s="11">
        <f t="shared" si="115"/>
        <v>7883.9399999999987</v>
      </c>
      <c r="AJ32" s="11">
        <f t="shared" si="115"/>
        <v>6227.94</v>
      </c>
      <c r="AK32" s="11">
        <f t="shared" si="115"/>
        <v>4658.88</v>
      </c>
      <c r="AL32" s="11">
        <f t="shared" si="115"/>
        <v>7821.8399999999983</v>
      </c>
      <c r="AM32" s="11" t="s">
        <v>4</v>
      </c>
      <c r="AN32" s="37">
        <v>0.9</v>
      </c>
      <c r="AO32" s="11">
        <f t="shared" ref="AO32" si="116">0.9*12*AO35</f>
        <v>5599.8</v>
      </c>
    </row>
    <row r="33" spans="1:46" s="1" customFormat="1" ht="15.75" x14ac:dyDescent="0.25">
      <c r="A33" s="72" t="s">
        <v>51</v>
      </c>
      <c r="B33" s="72"/>
      <c r="C33" s="72"/>
      <c r="D33" s="72"/>
      <c r="E33" s="72"/>
      <c r="F33" s="72"/>
      <c r="G33" s="11" t="s">
        <v>8</v>
      </c>
      <c r="H33" s="11">
        <v>0.71</v>
      </c>
      <c r="I33" s="11">
        <f>0.71*12*I35</f>
        <v>4324.7520000000004</v>
      </c>
      <c r="J33" s="11">
        <f t="shared" ref="J33:K33" si="117">0.71*12*J35</f>
        <v>4415.0640000000003</v>
      </c>
      <c r="K33" s="11">
        <f t="shared" si="117"/>
        <v>5146.9319999999998</v>
      </c>
      <c r="L33" s="11">
        <f t="shared" ref="L33:X33" si="118">0.71*12*L35</f>
        <v>4377.5759999999991</v>
      </c>
      <c r="M33" s="11">
        <f t="shared" si="118"/>
        <v>5274.732</v>
      </c>
      <c r="N33" s="11">
        <f t="shared" si="118"/>
        <v>4788.24</v>
      </c>
      <c r="O33" s="11">
        <f t="shared" si="118"/>
        <v>5226.1679999999997</v>
      </c>
      <c r="P33" s="11">
        <f t="shared" si="118"/>
        <v>2079.732</v>
      </c>
      <c r="Q33" s="11">
        <f t="shared" si="118"/>
        <v>7369.7999999999993</v>
      </c>
      <c r="R33" s="11">
        <f t="shared" si="118"/>
        <v>4440.6239999999998</v>
      </c>
      <c r="S33" s="11">
        <f t="shared" si="118"/>
        <v>4229.3279999999995</v>
      </c>
      <c r="T33" s="11">
        <f t="shared" si="118"/>
        <v>6082.4279999999999</v>
      </c>
      <c r="U33" s="11">
        <f t="shared" si="118"/>
        <v>3753.9119999999998</v>
      </c>
      <c r="V33" s="11">
        <f t="shared" si="118"/>
        <v>2747.7</v>
      </c>
      <c r="W33" s="11">
        <f t="shared" si="118"/>
        <v>4296.6359999999995</v>
      </c>
      <c r="X33" s="11">
        <f t="shared" si="118"/>
        <v>5631.7199999999993</v>
      </c>
      <c r="Y33" s="11" t="s">
        <v>8</v>
      </c>
      <c r="Z33" s="25">
        <v>0.45</v>
      </c>
      <c r="AA33" s="11">
        <f t="shared" ref="AA33:AL33" si="119">0.45*12*AA35</f>
        <v>2489.9400000000005</v>
      </c>
      <c r="AB33" s="11">
        <f t="shared" si="119"/>
        <v>2624.9400000000005</v>
      </c>
      <c r="AC33" s="11">
        <f t="shared" si="119"/>
        <v>4162.8600000000006</v>
      </c>
      <c r="AD33" s="11">
        <f t="shared" si="119"/>
        <v>2199.42</v>
      </c>
      <c r="AE33" s="11">
        <f t="shared" si="119"/>
        <v>2190.7800000000002</v>
      </c>
      <c r="AF33" s="11">
        <f t="shared" si="119"/>
        <v>2135.16</v>
      </c>
      <c r="AG33" s="11">
        <f t="shared" si="119"/>
        <v>3052.62</v>
      </c>
      <c r="AH33" s="11">
        <f t="shared" si="119"/>
        <v>2343.06</v>
      </c>
      <c r="AI33" s="11">
        <f t="shared" si="119"/>
        <v>3085.02</v>
      </c>
      <c r="AJ33" s="11">
        <f t="shared" si="119"/>
        <v>2437.0200000000004</v>
      </c>
      <c r="AK33" s="11">
        <f t="shared" si="119"/>
        <v>1823.0400000000002</v>
      </c>
      <c r="AL33" s="11">
        <f t="shared" si="119"/>
        <v>3060.72</v>
      </c>
      <c r="AM33" s="11" t="s">
        <v>8</v>
      </c>
      <c r="AN33" s="37">
        <v>0.4</v>
      </c>
      <c r="AO33" s="11">
        <f t="shared" ref="AO33" si="120">0.4*12*AO35</f>
        <v>2488.8000000000002</v>
      </c>
      <c r="AP33" s="44"/>
    </row>
    <row r="34" spans="1:46" s="1" customFormat="1" ht="15.75" x14ac:dyDescent="0.25">
      <c r="A34" s="69" t="s">
        <v>2</v>
      </c>
      <c r="B34" s="70"/>
      <c r="C34" s="70"/>
      <c r="D34" s="70"/>
      <c r="E34" s="70"/>
      <c r="F34" s="71"/>
      <c r="G34" s="17"/>
      <c r="H34" s="17"/>
      <c r="I34" s="18">
        <f>I14+I22+I28</f>
        <v>111164.4</v>
      </c>
      <c r="J34" s="18">
        <f t="shared" ref="J34:K34" si="121">J14+J22+J28</f>
        <v>113485.8</v>
      </c>
      <c r="K34" s="18">
        <f t="shared" si="121"/>
        <v>132297.90000000002</v>
      </c>
      <c r="L34" s="18">
        <f t="shared" ref="L34:X34" si="122">L14+L22+L28</f>
        <v>112522.19999999998</v>
      </c>
      <c r="M34" s="18">
        <f t="shared" si="122"/>
        <v>135582.9</v>
      </c>
      <c r="N34" s="18">
        <f t="shared" si="122"/>
        <v>123078</v>
      </c>
      <c r="O34" s="18">
        <f t="shared" si="122"/>
        <v>134334.59999999998</v>
      </c>
      <c r="P34" s="18">
        <f t="shared" si="122"/>
        <v>53457.899999999994</v>
      </c>
      <c r="Q34" s="18">
        <f t="shared" si="122"/>
        <v>189435</v>
      </c>
      <c r="R34" s="18">
        <f t="shared" si="122"/>
        <v>114142.79999999999</v>
      </c>
      <c r="S34" s="18">
        <f t="shared" si="122"/>
        <v>108711.59999999999</v>
      </c>
      <c r="T34" s="18">
        <f t="shared" si="122"/>
        <v>156344.09999999998</v>
      </c>
      <c r="U34" s="18">
        <f t="shared" si="122"/>
        <v>96491.4</v>
      </c>
      <c r="V34" s="18">
        <f t="shared" si="122"/>
        <v>70627.5</v>
      </c>
      <c r="W34" s="18">
        <f t="shared" si="122"/>
        <v>110441.69999999998</v>
      </c>
      <c r="X34" s="18">
        <f t="shared" si="122"/>
        <v>144759</v>
      </c>
      <c r="Y34" s="17"/>
      <c r="Z34" s="30"/>
      <c r="AA34" s="18">
        <f t="shared" ref="AA34" si="123">AA14+AA22+AA28</f>
        <v>94673.051999999996</v>
      </c>
      <c r="AB34" s="18">
        <f t="shared" ref="AB34:AC34" si="124">AB14+AB22+AB28</f>
        <v>99806.051999999996</v>
      </c>
      <c r="AC34" s="18">
        <f t="shared" si="124"/>
        <v>158281.18799999999</v>
      </c>
      <c r="AD34" s="18">
        <f t="shared" ref="AD34:AG34" si="125">AD14+AD22+AD28</f>
        <v>83626.83600000001</v>
      </c>
      <c r="AE34" s="18">
        <f t="shared" si="125"/>
        <v>83298.323999999993</v>
      </c>
      <c r="AF34" s="18">
        <f t="shared" si="125"/>
        <v>81183.527999999991</v>
      </c>
      <c r="AG34" s="18">
        <f t="shared" si="125"/>
        <v>116067.39600000001</v>
      </c>
      <c r="AH34" s="18">
        <f t="shared" ref="AH34:AL34" si="126">AH14+AH22+AH28</f>
        <v>89088.347999999998</v>
      </c>
      <c r="AI34" s="18">
        <f t="shared" si="126"/>
        <v>117299.31599999999</v>
      </c>
      <c r="AJ34" s="18">
        <f t="shared" si="126"/>
        <v>92660.915999999997</v>
      </c>
      <c r="AK34" s="18">
        <f t="shared" si="126"/>
        <v>69316.032000000007</v>
      </c>
      <c r="AL34" s="18">
        <f t="shared" si="126"/>
        <v>116375.37599999999</v>
      </c>
      <c r="AM34" s="17"/>
      <c r="AN34" s="39"/>
      <c r="AO34" s="18">
        <f t="shared" ref="AO34" si="127">AO14+AO22+AO28</f>
        <v>79206.06</v>
      </c>
      <c r="AP34" s="44"/>
      <c r="AQ34" s="45">
        <f>SUM(I34:AP34)</f>
        <v>3187759.2240000009</v>
      </c>
      <c r="AR34" s="45">
        <f>AQ34/12*0.05</f>
        <v>13282.330100000005</v>
      </c>
    </row>
    <row r="35" spans="1:46" s="21" customFormat="1" x14ac:dyDescent="0.2">
      <c r="A35" s="86" t="s">
        <v>1</v>
      </c>
      <c r="B35" s="86"/>
      <c r="C35" s="86"/>
      <c r="D35" s="86"/>
      <c r="E35" s="86"/>
      <c r="F35" s="86"/>
      <c r="G35" s="32"/>
      <c r="H35" s="33"/>
      <c r="I35" s="50" t="s">
        <v>85</v>
      </c>
      <c r="J35" s="50" t="s">
        <v>86</v>
      </c>
      <c r="K35" s="50" t="s">
        <v>87</v>
      </c>
      <c r="L35" s="50" t="s">
        <v>88</v>
      </c>
      <c r="M35" s="50" t="s">
        <v>89</v>
      </c>
      <c r="N35" s="50" t="s">
        <v>90</v>
      </c>
      <c r="O35" s="50" t="s">
        <v>91</v>
      </c>
      <c r="P35" s="50" t="s">
        <v>92</v>
      </c>
      <c r="Q35" s="50" t="s">
        <v>93</v>
      </c>
      <c r="R35" s="50" t="s">
        <v>94</v>
      </c>
      <c r="S35" s="50" t="s">
        <v>95</v>
      </c>
      <c r="T35" s="50" t="s">
        <v>66</v>
      </c>
      <c r="U35" s="50" t="s">
        <v>67</v>
      </c>
      <c r="V35" s="50" t="s">
        <v>96</v>
      </c>
      <c r="W35" s="50" t="s">
        <v>97</v>
      </c>
      <c r="X35" s="50" t="s">
        <v>98</v>
      </c>
      <c r="Y35" s="34"/>
      <c r="Z35" s="35"/>
      <c r="AA35" s="50" t="s">
        <v>107</v>
      </c>
      <c r="AB35" s="50" t="s">
        <v>108</v>
      </c>
      <c r="AC35" s="50" t="s">
        <v>109</v>
      </c>
      <c r="AD35" s="50" t="s">
        <v>68</v>
      </c>
      <c r="AE35" s="50" t="s">
        <v>110</v>
      </c>
      <c r="AF35" s="50" t="s">
        <v>111</v>
      </c>
      <c r="AG35" s="50" t="s">
        <v>112</v>
      </c>
      <c r="AH35" s="50" t="s">
        <v>113</v>
      </c>
      <c r="AI35" s="50" t="s">
        <v>114</v>
      </c>
      <c r="AJ35" s="50" t="s">
        <v>115</v>
      </c>
      <c r="AK35" s="50" t="s">
        <v>116</v>
      </c>
      <c r="AL35" s="50" t="s">
        <v>117</v>
      </c>
      <c r="AM35" s="34"/>
      <c r="AN35" s="48"/>
      <c r="AO35" s="49" t="s">
        <v>119</v>
      </c>
      <c r="AP35" s="45"/>
      <c r="AQ35" s="1"/>
      <c r="AR35" s="1"/>
      <c r="AS35" s="1"/>
      <c r="AT35" s="1"/>
    </row>
    <row r="36" spans="1:46" s="2" customFormat="1" ht="25.5" customHeight="1" x14ac:dyDescent="0.25">
      <c r="A36" s="80" t="s">
        <v>49</v>
      </c>
      <c r="B36" s="81"/>
      <c r="C36" s="81"/>
      <c r="D36" s="81"/>
      <c r="E36" s="81"/>
      <c r="F36" s="82"/>
      <c r="G36" s="19"/>
      <c r="H36" s="20">
        <f>H14+H22+H28</f>
        <v>18.249999999999996</v>
      </c>
      <c r="I36" s="20">
        <f>I34 /12/I35</f>
        <v>18.249999999999996</v>
      </c>
      <c r="J36" s="20">
        <f t="shared" ref="J36:K36" si="128">J34 /12/J35</f>
        <v>18.249999999999996</v>
      </c>
      <c r="K36" s="20">
        <f t="shared" si="128"/>
        <v>18.250000000000004</v>
      </c>
      <c r="L36" s="20">
        <f t="shared" ref="L36:X36" si="129">L34 /12/L35</f>
        <v>18.25</v>
      </c>
      <c r="M36" s="20">
        <f t="shared" si="129"/>
        <v>18.249999999999996</v>
      </c>
      <c r="N36" s="20">
        <f t="shared" si="129"/>
        <v>18.25</v>
      </c>
      <c r="O36" s="20">
        <f t="shared" si="129"/>
        <v>18.249999999999996</v>
      </c>
      <c r="P36" s="20">
        <f t="shared" si="129"/>
        <v>18.25</v>
      </c>
      <c r="Q36" s="20">
        <f t="shared" si="129"/>
        <v>18.25</v>
      </c>
      <c r="R36" s="20">
        <f t="shared" si="129"/>
        <v>18.249999999999996</v>
      </c>
      <c r="S36" s="20">
        <f t="shared" si="129"/>
        <v>18.25</v>
      </c>
      <c r="T36" s="20">
        <f t="shared" si="129"/>
        <v>18.249999999999996</v>
      </c>
      <c r="U36" s="20">
        <f t="shared" si="129"/>
        <v>18.25</v>
      </c>
      <c r="V36" s="20">
        <f t="shared" si="129"/>
        <v>18.25</v>
      </c>
      <c r="W36" s="20">
        <f t="shared" si="129"/>
        <v>18.249999999999996</v>
      </c>
      <c r="X36" s="20">
        <f t="shared" si="129"/>
        <v>18.25</v>
      </c>
      <c r="Y36" s="20"/>
      <c r="Z36" s="29">
        <f t="shared" ref="Z36" si="130">Z14+Z22+Z28</f>
        <v>17.11</v>
      </c>
      <c r="AA36" s="20">
        <f t="shared" ref="AA36" si="131">AA34/12/AA35</f>
        <v>17.11</v>
      </c>
      <c r="AB36" s="20">
        <f t="shared" ref="AB36:AC36" si="132">AB34/12/AB35</f>
        <v>17.11</v>
      </c>
      <c r="AC36" s="20">
        <f t="shared" si="132"/>
        <v>17.11</v>
      </c>
      <c r="AD36" s="20">
        <f t="shared" ref="AD36:AG36" si="133">AD34/12/AD35</f>
        <v>17.110000000000003</v>
      </c>
      <c r="AE36" s="20">
        <f t="shared" si="133"/>
        <v>17.11</v>
      </c>
      <c r="AF36" s="20">
        <f t="shared" si="133"/>
        <v>17.11</v>
      </c>
      <c r="AG36" s="20">
        <f t="shared" si="133"/>
        <v>17.110000000000003</v>
      </c>
      <c r="AH36" s="20">
        <f t="shared" ref="AH36:AL36" si="134">AH34/12/AH35</f>
        <v>17.11</v>
      </c>
      <c r="AI36" s="20">
        <f t="shared" si="134"/>
        <v>17.11</v>
      </c>
      <c r="AJ36" s="20">
        <f t="shared" si="134"/>
        <v>17.11</v>
      </c>
      <c r="AK36" s="20">
        <f t="shared" si="134"/>
        <v>17.11</v>
      </c>
      <c r="AL36" s="20">
        <f t="shared" si="134"/>
        <v>17.11</v>
      </c>
      <c r="AM36" s="20"/>
      <c r="AN36" s="19">
        <f t="shared" ref="AN36" si="135">AN14+AN22+AN28</f>
        <v>12.73</v>
      </c>
      <c r="AO36" s="20">
        <f t="shared" ref="AO36" si="136">AO34/12/AO35</f>
        <v>12.73</v>
      </c>
      <c r="AP36" s="46"/>
      <c r="AQ36" s="21"/>
      <c r="AR36" s="21"/>
      <c r="AS36" s="21"/>
      <c r="AT36" s="21"/>
    </row>
    <row r="37" spans="1:46" s="1" customFormat="1" ht="12.75" customHeight="1" x14ac:dyDescent="0.2">
      <c r="A37" s="4"/>
      <c r="B37" s="4"/>
      <c r="C37" s="4"/>
      <c r="D37" s="4"/>
      <c r="E37" s="4"/>
      <c r="F37" s="4"/>
      <c r="G37" s="4"/>
      <c r="H37" s="5"/>
      <c r="I37" s="5"/>
      <c r="J37" s="5"/>
      <c r="K37" s="5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4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4"/>
      <c r="AN37" s="7"/>
      <c r="AO37" s="6"/>
    </row>
    <row r="38" spans="1:46" s="1" customFormat="1" ht="12.75" hidden="1" customHeight="1" x14ac:dyDescent="0.2">
      <c r="A38" s="4"/>
      <c r="B38" s="4"/>
      <c r="C38" s="4"/>
      <c r="D38" s="4"/>
      <c r="E38" s="4"/>
      <c r="F38" s="4"/>
      <c r="G38" s="4"/>
      <c r="H38" s="5"/>
      <c r="I38" s="5"/>
      <c r="J38" s="5"/>
      <c r="K38" s="5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4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4"/>
      <c r="AN38" s="7"/>
      <c r="AO38" s="6"/>
    </row>
    <row r="39" spans="1:46" s="1" customFormat="1" x14ac:dyDescent="0.2">
      <c r="A39" s="4"/>
      <c r="B39" s="4"/>
      <c r="C39" s="4"/>
      <c r="D39" s="4"/>
      <c r="E39" s="4"/>
      <c r="F39" s="4"/>
      <c r="G39" s="4"/>
      <c r="H39" s="5"/>
      <c r="I39" s="5"/>
      <c r="J39" s="5"/>
      <c r="K39" s="5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7"/>
      <c r="AO39" s="4"/>
    </row>
    <row r="40" spans="1:46" s="1" customFormat="1" x14ac:dyDescent="0.2">
      <c r="A40" s="4"/>
      <c r="B40" s="4"/>
      <c r="C40" s="4"/>
      <c r="D40" s="4"/>
      <c r="E40" s="4"/>
      <c r="F40" s="4"/>
      <c r="G40" s="4"/>
      <c r="H40" s="5"/>
      <c r="I40" s="5"/>
      <c r="J40" s="5"/>
      <c r="K40" s="5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7"/>
      <c r="AO40" s="4"/>
    </row>
    <row r="41" spans="1:46" s="1" customFormat="1" x14ac:dyDescent="0.2">
      <c r="A41" s="4" t="s">
        <v>0</v>
      </c>
      <c r="B41" s="4">
        <v>12</v>
      </c>
      <c r="C41" s="4"/>
      <c r="D41" s="4"/>
      <c r="E41" s="4"/>
      <c r="F41" s="4"/>
      <c r="G41" s="4"/>
      <c r="H41" s="5"/>
      <c r="I41" s="5"/>
      <c r="J41" s="5"/>
      <c r="K41" s="5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7"/>
      <c r="AO41" s="4"/>
    </row>
    <row r="42" spans="1:46" s="1" customFormat="1" x14ac:dyDescent="0.2">
      <c r="A42" s="4"/>
      <c r="B42" s="4"/>
      <c r="C42" s="4"/>
      <c r="D42" s="4"/>
      <c r="E42" s="4"/>
      <c r="F42" s="4"/>
      <c r="G42" s="4"/>
      <c r="H42" s="5"/>
      <c r="I42" s="5"/>
      <c r="J42" s="5"/>
      <c r="K42" s="5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7"/>
      <c r="AO42" s="4"/>
    </row>
  </sheetData>
  <mergeCells count="42">
    <mergeCell ref="A1:G1"/>
    <mergeCell ref="A2:G2"/>
    <mergeCell ref="A3:G3"/>
    <mergeCell ref="A4:G4"/>
    <mergeCell ref="A9:F9"/>
    <mergeCell ref="A23:F23"/>
    <mergeCell ref="A25:F25"/>
    <mergeCell ref="A26:F26"/>
    <mergeCell ref="A36:F36"/>
    <mergeCell ref="A28:F28"/>
    <mergeCell ref="A29:F29"/>
    <mergeCell ref="A30:F30"/>
    <mergeCell ref="A33:F33"/>
    <mergeCell ref="A31:F31"/>
    <mergeCell ref="A32:F32"/>
    <mergeCell ref="A35:F35"/>
    <mergeCell ref="A34:F34"/>
    <mergeCell ref="A15:F15"/>
    <mergeCell ref="A10:F10"/>
    <mergeCell ref="A11:F11"/>
    <mergeCell ref="A12:F12"/>
    <mergeCell ref="A13:F13"/>
    <mergeCell ref="A14:F14"/>
    <mergeCell ref="A27:F27"/>
    <mergeCell ref="A24:F24"/>
    <mergeCell ref="A16:F16"/>
    <mergeCell ref="A17:F17"/>
    <mergeCell ref="A18:F18"/>
    <mergeCell ref="A19:F19"/>
    <mergeCell ref="A20:F20"/>
    <mergeCell ref="A21:F21"/>
    <mergeCell ref="A22:F22"/>
    <mergeCell ref="G6:X6"/>
    <mergeCell ref="Y6:Z6"/>
    <mergeCell ref="AA6:AN6"/>
    <mergeCell ref="H7:H8"/>
    <mergeCell ref="A6:F8"/>
    <mergeCell ref="G7:G8"/>
    <mergeCell ref="Y7:Y8"/>
    <mergeCell ref="Z7:Z8"/>
    <mergeCell ref="AN7:AN8"/>
    <mergeCell ref="AM7:AM8"/>
  </mergeCells>
  <pageMargins left="0.23622047244094491" right="0.11811023622047245" top="0.23622047244094491" bottom="0.19685039370078741" header="0.31496062992125984" footer="0.31496062992125984"/>
  <pageSetup paperSize="9" scale="50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лот1</vt:lpstr>
      <vt:lpstr>Лист1</vt:lpstr>
      <vt:lpstr>лот1!Заголовки_для_печати</vt:lpstr>
      <vt:lpstr>лот1!Область_печати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Александровна Шевченко</dc:creator>
  <cp:lastModifiedBy>Антонина Владимировна Никонова</cp:lastModifiedBy>
  <cp:lastPrinted>2016-05-20T13:35:25Z</cp:lastPrinted>
  <dcterms:created xsi:type="dcterms:W3CDTF">2013-04-24T10:34:01Z</dcterms:created>
  <dcterms:modified xsi:type="dcterms:W3CDTF">2016-05-31T14:12:16Z</dcterms:modified>
</cp:coreProperties>
</file>